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131874\Box\02_Ｐ＆Ｃ本部\HQ PD Div\50.制度企画\6_☆報酬実務\2024年\2024年11月\昇降格時の昇降給試算ツール\"/>
    </mc:Choice>
  </mc:AlternateContent>
  <xr:revisionPtr revIDLastSave="0" documentId="13_ncr:1_{3E836F07-FA23-4DB2-8482-6A1070E816A4}" xr6:coauthVersionLast="47" xr6:coauthVersionMax="47" xr10:uidLastSave="{00000000-0000-0000-0000-000000000000}"/>
  <workbookProtection workbookAlgorithmName="SHA-512" workbookHashValue="uJGOCmwHuDP38W/cKCY4vzUqbcZwdsj5NyjZ4x8LtCfakVwlo8wTXwSRY2hm+5WYPzicHJxkeE95T6gH0TH+HQ==" workbookSaltValue="fIyCq+sXRffRT+WK8fgaLg==" workbookSpinCount="100000" lockStructure="1"/>
  <bookViews>
    <workbookView xWindow="-110" yWindow="-110" windowWidth="21820" windowHeight="14160" xr2:uid="{0BE26701-2C26-41E7-A94C-0C201948F182}"/>
  </bookViews>
  <sheets>
    <sheet name="■グレード変更時の報酬試算ツール（美容職)" sheetId="14" r:id="rId1"/>
    <sheet name="■昇降格試算ツール（総合職・特定職）" sheetId="1" r:id="rId2"/>
    <sheet name="■Comp Est Tool for Sougou＆Toku" sheetId="8" r:id="rId3"/>
    <sheet name="■昇格試算ツール (生産技術職)" sheetId="5" r:id="rId4"/>
    <sheet name="■Comp Est Tool for Sei-Gi" sheetId="9" r:id="rId5"/>
    <sheet name="25年_美容職新制度設計 (実昇降格)" sheetId="11" state="hidden" r:id="rId6"/>
    <sheet name="24年時点_制度設計" sheetId="2" state="hidden" r:id="rId7"/>
    <sheet name="リスト値" sheetId="3" state="hidden" r:id="rId8"/>
    <sheet name="25年_美容職新制度設計（All）" sheetId="10" state="hidden" r:id="rId9"/>
    <sheet name="参考（制度資料）" sheetId="4" state="hidden" r:id="rId10"/>
  </sheets>
  <definedNames>
    <definedName name="_xlnm.Print_Area" localSheetId="4">'■Comp Est Tool for Sei-Gi'!$A$1:$I$15</definedName>
    <definedName name="_xlnm.Print_Area" localSheetId="2">'■Comp Est Tool for Sougou＆Toku'!$A$1:$I$15</definedName>
    <definedName name="_xlnm.Print_Area" localSheetId="0">'■グレード変更時の報酬試算ツール（美容職)'!$A$1:$I$15</definedName>
    <definedName name="_xlnm.Print_Area" localSheetId="3">'■昇格試算ツール (生産技術職)'!$A$1:$I$15</definedName>
    <definedName name="_xlnm.Print_Area" localSheetId="1">'■昇降格試算ツール（総合職・特定職）'!$A$1:$I$15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5" l="1"/>
  <c r="K10" i="14"/>
  <c r="K11" i="14" s="1"/>
  <c r="K12" i="14" s="1"/>
  <c r="K14" i="14"/>
  <c r="K13" i="14"/>
  <c r="H7" i="11"/>
  <c r="I7" i="11"/>
  <c r="N7" i="11"/>
  <c r="U7" i="11"/>
  <c r="V7" i="11"/>
  <c r="I8" i="11"/>
  <c r="N8" i="11"/>
  <c r="H9" i="11"/>
  <c r="I9" i="11"/>
  <c r="N9" i="11" s="1"/>
  <c r="I10" i="11"/>
  <c r="J10" i="11"/>
  <c r="N10" i="11"/>
  <c r="R10" i="11" s="1"/>
  <c r="O10" i="11"/>
  <c r="S10" i="11" s="1"/>
  <c r="H11" i="11"/>
  <c r="I11" i="11"/>
  <c r="N11" i="11"/>
  <c r="O11" i="11" s="1"/>
  <c r="J12" i="11"/>
  <c r="I13" i="11"/>
  <c r="N13" i="11" s="1"/>
  <c r="J13" i="11"/>
  <c r="T42" i="11"/>
  <c r="T41" i="11"/>
  <c r="T40" i="11"/>
  <c r="T39" i="11"/>
  <c r="E26" i="11"/>
  <c r="F26" i="11" s="1"/>
  <c r="N21" i="11"/>
  <c r="R21" i="11" s="1"/>
  <c r="J21" i="11"/>
  <c r="H21" i="11"/>
  <c r="H13" i="11" s="1"/>
  <c r="N20" i="11"/>
  <c r="R20" i="11" s="1"/>
  <c r="V4" i="11" s="1"/>
  <c r="J20" i="11"/>
  <c r="H20" i="11"/>
  <c r="H12" i="11" s="1"/>
  <c r="N19" i="11"/>
  <c r="R19" i="11" s="1"/>
  <c r="J19" i="11"/>
  <c r="J11" i="11" s="1"/>
  <c r="H19" i="11"/>
  <c r="N18" i="11"/>
  <c r="R18" i="11" s="1"/>
  <c r="J18" i="11"/>
  <c r="H18" i="11"/>
  <c r="H10" i="11" s="1"/>
  <c r="P17" i="11"/>
  <c r="T17" i="11" s="1"/>
  <c r="T31" i="11" s="1"/>
  <c r="N17" i="11"/>
  <c r="R17" i="11" s="1"/>
  <c r="J17" i="11"/>
  <c r="J9" i="11" s="1"/>
  <c r="H17" i="11"/>
  <c r="P16" i="11"/>
  <c r="T16" i="11" s="1"/>
  <c r="T30" i="11" s="1"/>
  <c r="N16" i="11"/>
  <c r="H16" i="11"/>
  <c r="H8" i="11" s="1"/>
  <c r="G16" i="11"/>
  <c r="J16" i="11" s="1"/>
  <c r="J8" i="11" s="1"/>
  <c r="N15" i="11"/>
  <c r="M15" i="11"/>
  <c r="M7" i="11" s="1"/>
  <c r="J15" i="11"/>
  <c r="J7" i="11" s="1"/>
  <c r="T42" i="10"/>
  <c r="T41" i="10"/>
  <c r="T40" i="10"/>
  <c r="T39" i="10"/>
  <c r="T37" i="10"/>
  <c r="E26" i="10"/>
  <c r="F26" i="10" s="1"/>
  <c r="R21" i="10"/>
  <c r="R35" i="10" s="1"/>
  <c r="N21" i="10"/>
  <c r="O21" i="10" s="1"/>
  <c r="J21" i="10"/>
  <c r="H21" i="10"/>
  <c r="H13" i="10" s="1"/>
  <c r="R20" i="10"/>
  <c r="V4" i="10" s="1"/>
  <c r="N20" i="10"/>
  <c r="O20" i="10" s="1"/>
  <c r="J20" i="10"/>
  <c r="J12" i="10" s="1"/>
  <c r="H20" i="10"/>
  <c r="H12" i="10" s="1"/>
  <c r="R19" i="10"/>
  <c r="N19" i="10"/>
  <c r="O19" i="10" s="1"/>
  <c r="J19" i="10"/>
  <c r="H19" i="10"/>
  <c r="H11" i="10" s="1"/>
  <c r="R18" i="10"/>
  <c r="N18" i="10"/>
  <c r="O18" i="10" s="1"/>
  <c r="J18" i="10"/>
  <c r="H18" i="10"/>
  <c r="AC17" i="10"/>
  <c r="T17" i="10"/>
  <c r="T31" i="10" s="1"/>
  <c r="S17" i="10"/>
  <c r="S31" i="10" s="1"/>
  <c r="R17" i="10"/>
  <c r="P17" i="10"/>
  <c r="N17" i="10"/>
  <c r="O17" i="10" s="1"/>
  <c r="M17" i="10"/>
  <c r="Q17" i="10" s="1"/>
  <c r="Q31" i="10" s="1"/>
  <c r="J17" i="10"/>
  <c r="H17" i="10"/>
  <c r="H9" i="10" s="1"/>
  <c r="T16" i="10"/>
  <c r="T30" i="10" s="1"/>
  <c r="P16" i="10"/>
  <c r="N16" i="10"/>
  <c r="J16" i="10"/>
  <c r="J8" i="10" s="1"/>
  <c r="H16" i="10"/>
  <c r="G16" i="10"/>
  <c r="O15" i="10"/>
  <c r="N15" i="10"/>
  <c r="M15" i="10"/>
  <c r="J15" i="10"/>
  <c r="N13" i="10"/>
  <c r="M13" i="10"/>
  <c r="Q13" i="10" s="1"/>
  <c r="Q28" i="10" s="1"/>
  <c r="J13" i="10"/>
  <c r="I13" i="10"/>
  <c r="O12" i="10"/>
  <c r="N12" i="10"/>
  <c r="R12" i="10" s="1"/>
  <c r="R27" i="10" s="1"/>
  <c r="M12" i="10"/>
  <c r="Q12" i="10" s="1"/>
  <c r="Q27" i="10" s="1"/>
  <c r="I12" i="10"/>
  <c r="O11" i="10"/>
  <c r="N11" i="10"/>
  <c r="J11" i="10"/>
  <c r="I11" i="10"/>
  <c r="R10" i="10"/>
  <c r="R25" i="10" s="1"/>
  <c r="Q10" i="10"/>
  <c r="Q25" i="10" s="1"/>
  <c r="O10" i="10"/>
  <c r="J10" i="10"/>
  <c r="I10" i="10"/>
  <c r="N10" i="10" s="1"/>
  <c r="M10" i="10" s="1"/>
  <c r="H10" i="10"/>
  <c r="T9" i="10"/>
  <c r="T24" i="10" s="1"/>
  <c r="R9" i="10"/>
  <c r="R24" i="10" s="1"/>
  <c r="K9" i="10"/>
  <c r="P9" i="10" s="1"/>
  <c r="J9" i="10"/>
  <c r="I9" i="10"/>
  <c r="N9" i="10" s="1"/>
  <c r="P8" i="10"/>
  <c r="T8" i="10" s="1"/>
  <c r="T23" i="10" s="1"/>
  <c r="O8" i="10"/>
  <c r="N8" i="10"/>
  <c r="K8" i="10"/>
  <c r="I8" i="10"/>
  <c r="H8" i="10"/>
  <c r="G8" i="10"/>
  <c r="J7" i="10"/>
  <c r="I7" i="10"/>
  <c r="H7" i="10"/>
  <c r="U4" i="10"/>
  <c r="G10" i="14" l="1"/>
  <c r="M13" i="11"/>
  <c r="Q13" i="11" s="1"/>
  <c r="O13" i="11"/>
  <c r="R13" i="11"/>
  <c r="O9" i="11"/>
  <c r="R9" i="11"/>
  <c r="R24" i="11" s="1"/>
  <c r="M9" i="11"/>
  <c r="Q9" i="11" s="1"/>
  <c r="Q24" i="11" s="1"/>
  <c r="AC11" i="11"/>
  <c r="S11" i="11"/>
  <c r="M11" i="11"/>
  <c r="Q11" i="11" s="1"/>
  <c r="M8" i="11"/>
  <c r="Q8" i="11" s="1"/>
  <c r="I12" i="11"/>
  <c r="N12" i="11" s="1"/>
  <c r="M10" i="11"/>
  <c r="Q10" i="11" s="1"/>
  <c r="K8" i="11"/>
  <c r="P8" i="11" s="1"/>
  <c r="T8" i="11" s="1"/>
  <c r="T23" i="11" s="1"/>
  <c r="T37" i="11" s="1"/>
  <c r="R11" i="11"/>
  <c r="AC10" i="11"/>
  <c r="R8" i="11"/>
  <c r="K9" i="11"/>
  <c r="P9" i="11" s="1"/>
  <c r="T9" i="11" s="1"/>
  <c r="M19" i="11"/>
  <c r="Q19" i="11" s="1"/>
  <c r="Q33" i="11" s="1"/>
  <c r="M21" i="11"/>
  <c r="Q21" i="11" s="1"/>
  <c r="Q35" i="11" s="1"/>
  <c r="T24" i="11"/>
  <c r="T38" i="11" s="1"/>
  <c r="M18" i="11"/>
  <c r="Q18" i="11" s="1"/>
  <c r="Q32" i="11" s="1"/>
  <c r="M20" i="11"/>
  <c r="Q20" i="11" s="1"/>
  <c r="Q34" i="11" s="1"/>
  <c r="O16" i="11"/>
  <c r="AC16" i="11" s="1"/>
  <c r="M17" i="11"/>
  <c r="Q17" i="11" s="1"/>
  <c r="Q31" i="11" s="1"/>
  <c r="M16" i="11"/>
  <c r="Q16" i="11" s="1"/>
  <c r="Q30" i="11" s="1"/>
  <c r="O17" i="11"/>
  <c r="O21" i="11"/>
  <c r="AC21" i="11" s="1"/>
  <c r="O20" i="11"/>
  <c r="AC20" i="11" s="1"/>
  <c r="O19" i="11"/>
  <c r="S19" i="11" s="1"/>
  <c r="S33" i="11" s="1"/>
  <c r="O18" i="11"/>
  <c r="AC18" i="11" s="1"/>
  <c r="R35" i="11"/>
  <c r="U4" i="11"/>
  <c r="R15" i="11"/>
  <c r="R7" i="11" s="1"/>
  <c r="O15" i="11"/>
  <c r="O7" i="11" s="1"/>
  <c r="AC7" i="11" s="1"/>
  <c r="R34" i="11"/>
  <c r="V21" i="11"/>
  <c r="V13" i="11" s="1"/>
  <c r="V20" i="11"/>
  <c r="V12" i="11" s="1"/>
  <c r="R28" i="11"/>
  <c r="Q28" i="11"/>
  <c r="W4" i="11"/>
  <c r="R33" i="11"/>
  <c r="Q15" i="11"/>
  <c r="Q7" i="11" s="1"/>
  <c r="R32" i="11"/>
  <c r="X4" i="11"/>
  <c r="R31" i="11"/>
  <c r="Y4" i="11"/>
  <c r="R16" i="11"/>
  <c r="AC8" i="10"/>
  <c r="S8" i="10"/>
  <c r="S23" i="10" s="1"/>
  <c r="U15" i="10"/>
  <c r="U7" i="10" s="1"/>
  <c r="U21" i="10"/>
  <c r="U13" i="10" s="1"/>
  <c r="U20" i="10"/>
  <c r="U12" i="10" s="1"/>
  <c r="U19" i="10"/>
  <c r="U11" i="10" s="1"/>
  <c r="U18" i="10"/>
  <c r="U10" i="10" s="1"/>
  <c r="U17" i="10"/>
  <c r="U9" i="10" s="1"/>
  <c r="AC10" i="10"/>
  <c r="S10" i="10"/>
  <c r="S25" i="10" s="1"/>
  <c r="M11" i="10"/>
  <c r="Q11" i="10" s="1"/>
  <c r="Q26" i="10" s="1"/>
  <c r="R11" i="10"/>
  <c r="R26" i="10" s="1"/>
  <c r="R41" i="10"/>
  <c r="R13" i="10"/>
  <c r="R28" i="10" s="1"/>
  <c r="R42" i="10" s="1"/>
  <c r="O13" i="10"/>
  <c r="AC20" i="10"/>
  <c r="S20" i="10"/>
  <c r="S34" i="10" s="1"/>
  <c r="V21" i="10"/>
  <c r="V13" i="10" s="1"/>
  <c r="V20" i="10"/>
  <c r="V12" i="10" s="1"/>
  <c r="V19" i="10"/>
  <c r="V11" i="10" s="1"/>
  <c r="V18" i="10"/>
  <c r="V10" i="10" s="1"/>
  <c r="V17" i="10"/>
  <c r="V9" i="10" s="1"/>
  <c r="W4" i="10"/>
  <c r="R33" i="10"/>
  <c r="T38" i="10"/>
  <c r="AC12" i="10"/>
  <c r="S12" i="10"/>
  <c r="S27" i="10" s="1"/>
  <c r="S41" i="10" s="1"/>
  <c r="U16" i="10"/>
  <c r="U8" i="10" s="1"/>
  <c r="R31" i="10"/>
  <c r="R38" i="10" s="1"/>
  <c r="Y4" i="10"/>
  <c r="X4" i="10"/>
  <c r="R32" i="10"/>
  <c r="R39" i="10" s="1"/>
  <c r="Q41" i="10"/>
  <c r="O7" i="10"/>
  <c r="AC7" i="10" s="1"/>
  <c r="AC15" i="10"/>
  <c r="S15" i="10"/>
  <c r="S7" i="10" s="1"/>
  <c r="R16" i="10"/>
  <c r="V16" i="10" s="1"/>
  <c r="V8" i="10" s="1"/>
  <c r="O16" i="10"/>
  <c r="AC21" i="10"/>
  <c r="S21" i="10"/>
  <c r="S35" i="10" s="1"/>
  <c r="R34" i="10"/>
  <c r="AC11" i="10"/>
  <c r="S11" i="10"/>
  <c r="S26" i="10" s="1"/>
  <c r="S40" i="10" s="1"/>
  <c r="AC19" i="10"/>
  <c r="S19" i="10"/>
  <c r="S33" i="10" s="1"/>
  <c r="AC18" i="10"/>
  <c r="S18" i="10"/>
  <c r="S32" i="10" s="1"/>
  <c r="O9" i="10"/>
  <c r="M9" i="10"/>
  <c r="Q9" i="10" s="1"/>
  <c r="Q24" i="10" s="1"/>
  <c r="Q38" i="10" s="1"/>
  <c r="M7" i="10"/>
  <c r="Q15" i="10"/>
  <c r="Q7" i="10" s="1"/>
  <c r="R8" i="10"/>
  <c r="R23" i="10" s="1"/>
  <c r="M8" i="10"/>
  <c r="Q8" i="10" s="1"/>
  <c r="Q23" i="10" s="1"/>
  <c r="R15" i="10"/>
  <c r="N7" i="10"/>
  <c r="M16" i="10"/>
  <c r="Q16" i="10" s="1"/>
  <c r="Q30" i="10" s="1"/>
  <c r="M18" i="10"/>
  <c r="Q18" i="10" s="1"/>
  <c r="Q32" i="10" s="1"/>
  <c r="Q39" i="10" s="1"/>
  <c r="M19" i="10"/>
  <c r="Q19" i="10" s="1"/>
  <c r="Q33" i="10" s="1"/>
  <c r="M20" i="10"/>
  <c r="Q20" i="10" s="1"/>
  <c r="Q34" i="10" s="1"/>
  <c r="M21" i="10"/>
  <c r="Q21" i="10" s="1"/>
  <c r="Q35" i="10" s="1"/>
  <c r="Q42" i="10" s="1"/>
  <c r="M14" i="14" l="1"/>
  <c r="G12" i="14" s="1"/>
  <c r="S9" i="11"/>
  <c r="AC9" i="11"/>
  <c r="O12" i="11"/>
  <c r="R12" i="11"/>
  <c r="R27" i="11" s="1"/>
  <c r="R41" i="11" s="1"/>
  <c r="M12" i="11"/>
  <c r="Q12" i="11" s="1"/>
  <c r="Q27" i="11" s="1"/>
  <c r="Q41" i="11" s="1"/>
  <c r="G8" i="11"/>
  <c r="O8" i="11" s="1"/>
  <c r="S13" i="11"/>
  <c r="S28" i="11" s="1"/>
  <c r="AC13" i="11"/>
  <c r="Q42" i="11"/>
  <c r="Q38" i="11"/>
  <c r="S21" i="11"/>
  <c r="S35" i="11" s="1"/>
  <c r="R25" i="11"/>
  <c r="R39" i="11" s="1"/>
  <c r="Q25" i="11"/>
  <c r="Q39" i="11" s="1"/>
  <c r="Q26" i="11"/>
  <c r="Q40" i="11" s="1"/>
  <c r="R26" i="11"/>
  <c r="R40" i="11" s="1"/>
  <c r="S16" i="11"/>
  <c r="S30" i="11" s="1"/>
  <c r="S24" i="11"/>
  <c r="S20" i="11"/>
  <c r="S34" i="11" s="1"/>
  <c r="R38" i="11"/>
  <c r="AC19" i="11"/>
  <c r="S18" i="11"/>
  <c r="S32" i="11" s="1"/>
  <c r="AC17" i="11"/>
  <c r="S17" i="11"/>
  <c r="S31" i="11" s="1"/>
  <c r="AC15" i="11"/>
  <c r="S15" i="11"/>
  <c r="S7" i="11" s="1"/>
  <c r="Y15" i="11"/>
  <c r="Y7" i="11" s="1"/>
  <c r="Y16" i="11"/>
  <c r="Y8" i="11" s="1"/>
  <c r="Y19" i="11"/>
  <c r="Y11" i="11" s="1"/>
  <c r="Y18" i="11"/>
  <c r="Y10" i="11" s="1"/>
  <c r="Y17" i="11"/>
  <c r="Y9" i="11" s="1"/>
  <c r="AA4" i="11"/>
  <c r="R42" i="11"/>
  <c r="X16" i="11"/>
  <c r="X8" i="11" s="1"/>
  <c r="X20" i="11"/>
  <c r="X12" i="11" s="1"/>
  <c r="X19" i="11"/>
  <c r="X11" i="11" s="1"/>
  <c r="X18" i="11"/>
  <c r="X10" i="11" s="1"/>
  <c r="X17" i="11"/>
  <c r="X9" i="11" s="1"/>
  <c r="X15" i="11"/>
  <c r="X7" i="11" s="1"/>
  <c r="W16" i="11"/>
  <c r="W8" i="11" s="1"/>
  <c r="W20" i="11"/>
  <c r="W12" i="11" s="1"/>
  <c r="W19" i="11"/>
  <c r="W11" i="11" s="1"/>
  <c r="W18" i="11"/>
  <c r="W10" i="11" s="1"/>
  <c r="W17" i="11"/>
  <c r="W9" i="11" s="1"/>
  <c r="W15" i="11"/>
  <c r="W7" i="11" s="1"/>
  <c r="R30" i="11"/>
  <c r="Z4" i="11"/>
  <c r="U21" i="11"/>
  <c r="U13" i="11" s="1"/>
  <c r="AC9" i="10"/>
  <c r="S9" i="10"/>
  <c r="S24" i="10" s="1"/>
  <c r="S38" i="10" s="1"/>
  <c r="R40" i="10"/>
  <c r="Q40" i="10"/>
  <c r="R7" i="10"/>
  <c r="AA4" i="10"/>
  <c r="S39" i="10"/>
  <c r="S37" i="10"/>
  <c r="Q37" i="10"/>
  <c r="X16" i="10"/>
  <c r="X8" i="10" s="1"/>
  <c r="X21" i="10"/>
  <c r="X13" i="10" s="1"/>
  <c r="X20" i="10"/>
  <c r="X12" i="10" s="1"/>
  <c r="X19" i="10"/>
  <c r="X11" i="10" s="1"/>
  <c r="X18" i="10"/>
  <c r="X10" i="10" s="1"/>
  <c r="X17" i="10"/>
  <c r="X9" i="10" s="1"/>
  <c r="X15" i="10"/>
  <c r="X7" i="10" s="1"/>
  <c r="W21" i="10"/>
  <c r="W13" i="10" s="1"/>
  <c r="W20" i="10"/>
  <c r="W12" i="10" s="1"/>
  <c r="W19" i="10"/>
  <c r="W11" i="10" s="1"/>
  <c r="W18" i="10"/>
  <c r="W10" i="10" s="1"/>
  <c r="W17" i="10"/>
  <c r="W9" i="10" s="1"/>
  <c r="W16" i="10"/>
  <c r="W8" i="10" s="1"/>
  <c r="W15" i="10"/>
  <c r="W7" i="10" s="1"/>
  <c r="R37" i="10"/>
  <c r="S16" i="10"/>
  <c r="S30" i="10" s="1"/>
  <c r="AC16" i="10"/>
  <c r="Y21" i="10"/>
  <c r="Y13" i="10" s="1"/>
  <c r="Y20" i="10"/>
  <c r="Y12" i="10" s="1"/>
  <c r="Y19" i="10"/>
  <c r="Y11" i="10" s="1"/>
  <c r="Y18" i="10"/>
  <c r="Y10" i="10" s="1"/>
  <c r="Y17" i="10"/>
  <c r="Y9" i="10" s="1"/>
  <c r="Y16" i="10"/>
  <c r="Y8" i="10" s="1"/>
  <c r="Y15" i="10"/>
  <c r="Y7" i="10" s="1"/>
  <c r="Z4" i="10"/>
  <c r="R30" i="10"/>
  <c r="V15" i="10"/>
  <c r="V7" i="10" s="1"/>
  <c r="AC13" i="10"/>
  <c r="S13" i="10"/>
  <c r="S28" i="10" s="1"/>
  <c r="S42" i="10" s="1"/>
  <c r="S8" i="11" l="1"/>
  <c r="AC8" i="11"/>
  <c r="AC12" i="11"/>
  <c r="S12" i="11"/>
  <c r="S27" i="11" s="1"/>
  <c r="S41" i="11" s="1"/>
  <c r="S38" i="11"/>
  <c r="S42" i="11"/>
  <c r="S25" i="11"/>
  <c r="S39" i="11" s="1"/>
  <c r="R23" i="11"/>
  <c r="R37" i="11" s="1"/>
  <c r="Q23" i="11"/>
  <c r="Q37" i="11" s="1"/>
  <c r="S26" i="11"/>
  <c r="S40" i="11" s="1"/>
  <c r="Z15" i="11"/>
  <c r="Z7" i="11" s="1"/>
  <c r="Z16" i="11"/>
  <c r="Z8" i="11" s="1"/>
  <c r="Z18" i="11"/>
  <c r="Z10" i="11" s="1"/>
  <c r="Z17" i="11"/>
  <c r="Z9" i="11" s="1"/>
  <c r="Z19" i="11"/>
  <c r="Z11" i="11" s="1"/>
  <c r="AA15" i="11"/>
  <c r="AA7" i="11" s="1"/>
  <c r="AA18" i="11"/>
  <c r="AA10" i="11" s="1"/>
  <c r="AA16" i="11"/>
  <c r="AA8" i="11" s="1"/>
  <c r="AA17" i="11"/>
  <c r="AA9" i="11" s="1"/>
  <c r="AA21" i="11"/>
  <c r="AA13" i="11" s="1"/>
  <c r="AA20" i="11"/>
  <c r="AA12" i="11" s="1"/>
  <c r="AA19" i="11"/>
  <c r="AA11" i="11" s="1"/>
  <c r="AA15" i="10"/>
  <c r="AA7" i="10" s="1"/>
  <c r="AA16" i="10"/>
  <c r="AA8" i="10" s="1"/>
  <c r="AA18" i="10"/>
  <c r="AA10" i="10" s="1"/>
  <c r="AA17" i="10"/>
  <c r="AA9" i="10" s="1"/>
  <c r="AA19" i="10"/>
  <c r="AA11" i="10" s="1"/>
  <c r="AA20" i="10"/>
  <c r="AA12" i="10" s="1"/>
  <c r="AA21" i="10"/>
  <c r="AA13" i="10" s="1"/>
  <c r="Z16" i="10"/>
  <c r="Z8" i="10" s="1"/>
  <c r="Z15" i="10"/>
  <c r="Z7" i="10" s="1"/>
  <c r="Z18" i="10"/>
  <c r="Z10" i="10" s="1"/>
  <c r="Z17" i="10"/>
  <c r="Z9" i="10" s="1"/>
  <c r="Z19" i="10"/>
  <c r="Z11" i="10" s="1"/>
  <c r="Z20" i="10"/>
  <c r="Z12" i="10" s="1"/>
  <c r="Z21" i="10"/>
  <c r="Z13" i="10" s="1"/>
  <c r="S23" i="11" l="1"/>
  <c r="S37" i="11" s="1"/>
  <c r="K14" i="8" l="1"/>
  <c r="K13" i="8"/>
  <c r="K11" i="9" l="1"/>
  <c r="K10" i="9"/>
  <c r="K7" i="9"/>
  <c r="K8" i="9" s="1"/>
  <c r="K9" i="9" s="1"/>
  <c r="G9" i="9" s="1"/>
  <c r="K10" i="8"/>
  <c r="K11" i="8" s="1"/>
  <c r="K12" i="8" s="1"/>
  <c r="G10" i="8" l="1"/>
  <c r="M11" i="9"/>
  <c r="G11" i="9" s="1"/>
  <c r="M14" i="8"/>
  <c r="G12" i="8" s="1"/>
  <c r="K10" i="1"/>
  <c r="K11" i="5" l="1"/>
  <c r="K10" i="5"/>
  <c r="K7" i="5"/>
  <c r="K8" i="5" l="1"/>
  <c r="K9" i="5" s="1"/>
  <c r="G9" i="5" s="1"/>
  <c r="M11" i="5" l="1"/>
  <c r="K14" i="1"/>
  <c r="K13" i="1"/>
  <c r="P15" i="2"/>
  <c r="AB73" i="2" l="1"/>
  <c r="AN72" i="2"/>
  <c r="AC72" i="2"/>
  <c r="AI72" i="2" s="1"/>
  <c r="AP72" i="2" s="1"/>
  <c r="AA72" i="2"/>
  <c r="AA73" i="2" s="1"/>
  <c r="N72" i="2"/>
  <c r="M72" i="2" s="1"/>
  <c r="P72" i="2" s="1"/>
  <c r="AC71" i="2"/>
  <c r="AF71" i="2" s="1"/>
  <c r="Z71" i="2"/>
  <c r="AA71" i="2" s="1"/>
  <c r="Y71" i="2"/>
  <c r="Y73" i="2" s="1"/>
  <c r="J71" i="2"/>
  <c r="I71" i="2" s="1"/>
  <c r="AN70" i="2"/>
  <c r="AN71" i="2" s="1"/>
  <c r="AN73" i="2" s="1"/>
  <c r="AF70" i="2"/>
  <c r="AM70" i="2" s="1"/>
  <c r="AC70" i="2"/>
  <c r="AI70" i="2" s="1"/>
  <c r="AP70" i="2" s="1"/>
  <c r="AA70" i="2"/>
  <c r="N70" i="2"/>
  <c r="Z69" i="2"/>
  <c r="AA69" i="2" s="1"/>
  <c r="Y69" i="2"/>
  <c r="N69" i="2"/>
  <c r="M69" i="2" s="1"/>
  <c r="P69" i="2" s="1"/>
  <c r="K69" i="2"/>
  <c r="I69" i="2"/>
  <c r="AN68" i="2"/>
  <c r="AN69" i="2" s="1"/>
  <c r="AC68" i="2"/>
  <c r="AH68" i="2" s="1"/>
  <c r="AO68" i="2" s="1"/>
  <c r="AA68" i="2"/>
  <c r="N68" i="2"/>
  <c r="O68" i="2" s="1"/>
  <c r="R68" i="2" s="1"/>
  <c r="M68" i="2"/>
  <c r="P68" i="2" s="1"/>
  <c r="AN67" i="2"/>
  <c r="AI67" i="2"/>
  <c r="AP67" i="2" s="1"/>
  <c r="AC67" i="2"/>
  <c r="AH67" i="2" s="1"/>
  <c r="AO67" i="2" s="1"/>
  <c r="AA67" i="2"/>
  <c r="N67" i="2"/>
  <c r="Q67" i="2" s="1"/>
  <c r="AN66" i="2"/>
  <c r="AH66" i="2"/>
  <c r="AO66" i="2" s="1"/>
  <c r="AC66" i="2"/>
  <c r="AI66" i="2" s="1"/>
  <c r="AP66" i="2" s="1"/>
  <c r="AA66" i="2"/>
  <c r="N66" i="2"/>
  <c r="AN65" i="2"/>
  <c r="AC65" i="2"/>
  <c r="AA65" i="2"/>
  <c r="N65" i="2"/>
  <c r="O65" i="2" s="1"/>
  <c r="R65" i="2" s="1"/>
  <c r="AB60" i="2"/>
  <c r="AI59" i="2"/>
  <c r="AH59" i="2"/>
  <c r="AF59" i="2"/>
  <c r="AC59" i="2"/>
  <c r="AA59" i="2"/>
  <c r="AA58" i="2"/>
  <c r="Z58" i="2"/>
  <c r="Z60" i="2" s="1"/>
  <c r="Y58" i="2"/>
  <c r="Y60" i="2" s="1"/>
  <c r="AI57" i="2"/>
  <c r="AC57" i="2"/>
  <c r="AE57" i="2" s="1"/>
  <c r="AA57" i="2"/>
  <c r="Z56" i="2"/>
  <c r="AA56" i="2" s="1"/>
  <c r="Y56" i="2"/>
  <c r="AF55" i="2"/>
  <c r="AC55" i="2"/>
  <c r="AH55" i="2" s="1"/>
  <c r="AA55" i="2"/>
  <c r="AC54" i="2"/>
  <c r="AH54" i="2" s="1"/>
  <c r="AA54" i="2"/>
  <c r="AF53" i="2"/>
  <c r="AC53" i="2"/>
  <c r="AH53" i="2" s="1"/>
  <c r="AA53" i="2"/>
  <c r="J47" i="2"/>
  <c r="J45" i="2"/>
  <c r="J43" i="2"/>
  <c r="J42" i="2"/>
  <c r="J41" i="2"/>
  <c r="BG40" i="2"/>
  <c r="AN40" i="2"/>
  <c r="AH40" i="2"/>
  <c r="AO40" i="2" s="1"/>
  <c r="AE40" i="2"/>
  <c r="Z40" i="2"/>
  <c r="AC40" i="2" s="1"/>
  <c r="AF40" i="2" s="1"/>
  <c r="AM40" i="2" s="1"/>
  <c r="Y40" i="2"/>
  <c r="V40" i="2"/>
  <c r="S40" i="2"/>
  <c r="J40" i="2"/>
  <c r="BG39" i="2"/>
  <c r="AN39" i="2"/>
  <c r="AI39" i="2"/>
  <c r="AP39" i="2" s="1"/>
  <c r="AF39" i="2"/>
  <c r="AM39" i="2" s="1"/>
  <c r="AC39" i="2"/>
  <c r="AH39" i="2" s="1"/>
  <c r="AO39" i="2" s="1"/>
  <c r="Z39" i="2"/>
  <c r="L39" i="2"/>
  <c r="N39" i="2" s="1"/>
  <c r="K39" i="2"/>
  <c r="I39" i="2"/>
  <c r="BG38" i="2"/>
  <c r="AN38" i="2"/>
  <c r="Z38" i="2"/>
  <c r="AC38" i="2" s="1"/>
  <c r="N38" i="2"/>
  <c r="M38" i="2" s="1"/>
  <c r="T38" i="2" s="1"/>
  <c r="L38" i="2"/>
  <c r="K38" i="2"/>
  <c r="I38" i="2"/>
  <c r="BG37" i="2"/>
  <c r="AN37" i="2"/>
  <c r="AF37" i="2"/>
  <c r="AM37" i="2" s="1"/>
  <c r="AE37" i="2"/>
  <c r="AC37" i="2"/>
  <c r="Z37" i="2"/>
  <c r="L37" i="2"/>
  <c r="N37" i="2" s="1"/>
  <c r="K37" i="2"/>
  <c r="I37" i="2"/>
  <c r="BG36" i="2"/>
  <c r="AN36" i="2"/>
  <c r="Z36" i="2"/>
  <c r="AC36" i="2" s="1"/>
  <c r="L36" i="2"/>
  <c r="N36" i="2" s="1"/>
  <c r="M36" i="2" s="1"/>
  <c r="K36" i="2"/>
  <c r="I36" i="2"/>
  <c r="BG35" i="2"/>
  <c r="AN35" i="2"/>
  <c r="AC35" i="2"/>
  <c r="Z35" i="2"/>
  <c r="N35" i="2"/>
  <c r="L35" i="2"/>
  <c r="K35" i="2"/>
  <c r="I35" i="2"/>
  <c r="BG34" i="2"/>
  <c r="AN34" i="2"/>
  <c r="AC34" i="2"/>
  <c r="AI34" i="2" s="1"/>
  <c r="AP34" i="2" s="1"/>
  <c r="Z34" i="2"/>
  <c r="Q34" i="2"/>
  <c r="AR30" i="2" s="1"/>
  <c r="L34" i="2"/>
  <c r="N34" i="2" s="1"/>
  <c r="K34" i="2"/>
  <c r="I34" i="2"/>
  <c r="BG33" i="2"/>
  <c r="AN33" i="2"/>
  <c r="AH33" i="2"/>
  <c r="AO33" i="2" s="1"/>
  <c r="Z33" i="2"/>
  <c r="AC33" i="2" s="1"/>
  <c r="L33" i="2"/>
  <c r="N33" i="2" s="1"/>
  <c r="K33" i="2"/>
  <c r="I33" i="2"/>
  <c r="H31" i="2"/>
  <c r="AB28" i="2"/>
  <c r="V28" i="2"/>
  <c r="S28" i="2"/>
  <c r="L28" i="2"/>
  <c r="AC27" i="2"/>
  <c r="AA27" i="2"/>
  <c r="Q27" i="2"/>
  <c r="Q47" i="2" s="1"/>
  <c r="BE30" i="2" s="1"/>
  <c r="N27" i="2"/>
  <c r="K27" i="2"/>
  <c r="K47" i="2" s="1"/>
  <c r="I27" i="2"/>
  <c r="I47" i="2" s="1"/>
  <c r="AG26" i="2"/>
  <c r="AG28" i="2" s="1"/>
  <c r="Z26" i="2"/>
  <c r="AA26" i="2" s="1"/>
  <c r="Y26" i="2"/>
  <c r="Y28" i="2" s="1"/>
  <c r="V26" i="2"/>
  <c r="S26" i="2"/>
  <c r="J26" i="2"/>
  <c r="AE25" i="2"/>
  <c r="AD25" i="2" s="1"/>
  <c r="AC25" i="2"/>
  <c r="AF25" i="2" s="1"/>
  <c r="AA25" i="2"/>
  <c r="N25" i="2"/>
  <c r="O25" i="2" s="1"/>
  <c r="K25" i="2"/>
  <c r="I25" i="2"/>
  <c r="I45" i="2" s="1"/>
  <c r="AG24" i="2"/>
  <c r="Z24" i="2"/>
  <c r="AA24" i="2" s="1"/>
  <c r="Y24" i="2"/>
  <c r="V24" i="2"/>
  <c r="S24" i="2"/>
  <c r="J24" i="2"/>
  <c r="AI23" i="2"/>
  <c r="AC23" i="2"/>
  <c r="AF23" i="2" s="1"/>
  <c r="AA23" i="2"/>
  <c r="N23" i="2"/>
  <c r="N43" i="2" s="1"/>
  <c r="M23" i="2"/>
  <c r="K23" i="2"/>
  <c r="K43" i="2" s="1"/>
  <c r="I23" i="2"/>
  <c r="I43" i="2" s="1"/>
  <c r="AC22" i="2"/>
  <c r="AF22" i="2" s="1"/>
  <c r="AA22" i="2"/>
  <c r="N22" i="2"/>
  <c r="Q22" i="2" s="1"/>
  <c r="Q42" i="2" s="1"/>
  <c r="AZ30" i="2" s="1"/>
  <c r="K22" i="2"/>
  <c r="K42" i="2" s="1"/>
  <c r="I22" i="2"/>
  <c r="I42" i="2" s="1"/>
  <c r="AI21" i="2"/>
  <c r="AH21" i="2"/>
  <c r="AE21" i="2"/>
  <c r="AD21" i="2" s="1"/>
  <c r="AC21" i="2"/>
  <c r="AF21" i="2" s="1"/>
  <c r="AA21" i="2"/>
  <c r="N21" i="2"/>
  <c r="N41" i="2" s="1"/>
  <c r="K21" i="2"/>
  <c r="K41" i="2" s="1"/>
  <c r="I21" i="2"/>
  <c r="I41" i="2" s="1"/>
  <c r="AI20" i="2"/>
  <c r="AH20" i="2"/>
  <c r="AE20" i="2"/>
  <c r="AD20" i="2" s="1"/>
  <c r="AC20" i="2"/>
  <c r="AF20" i="2" s="1"/>
  <c r="AA20" i="2"/>
  <c r="N20" i="2"/>
  <c r="Q20" i="2" s="1"/>
  <c r="Q40" i="2" s="1"/>
  <c r="AX30" i="2" s="1"/>
  <c r="K20" i="2"/>
  <c r="K40" i="2" s="1"/>
  <c r="I20" i="2"/>
  <c r="I40" i="2" s="1"/>
  <c r="AN19" i="2"/>
  <c r="AN29" i="2" s="1"/>
  <c r="Z19" i="2"/>
  <c r="AC19" i="2" s="1"/>
  <c r="AH19" i="2" s="1"/>
  <c r="AO19" i="2" s="1"/>
  <c r="L19" i="2"/>
  <c r="H19" i="2"/>
  <c r="J19" i="2" s="1"/>
  <c r="AN18" i="2"/>
  <c r="Z18" i="2"/>
  <c r="AC18" i="2" s="1"/>
  <c r="X18" i="2"/>
  <c r="U18" i="2"/>
  <c r="R18" i="2"/>
  <c r="L18" i="2"/>
  <c r="H18" i="2"/>
  <c r="J18" i="2" s="1"/>
  <c r="I18" i="2" s="1"/>
  <c r="AN17" i="2"/>
  <c r="AC17" i="2"/>
  <c r="AI17" i="2" s="1"/>
  <c r="AP17" i="2" s="1"/>
  <c r="AA17" i="2"/>
  <c r="Z17" i="2"/>
  <c r="L17" i="2"/>
  <c r="H17" i="2"/>
  <c r="J17" i="2" s="1"/>
  <c r="AN16" i="2"/>
  <c r="AC16" i="2"/>
  <c r="AI16" i="2" s="1"/>
  <c r="AP16" i="2" s="1"/>
  <c r="Z16" i="2"/>
  <c r="AA16" i="2" s="1"/>
  <c r="L16" i="2"/>
  <c r="H16" i="2"/>
  <c r="J16" i="2" s="1"/>
  <c r="N16" i="2" s="1"/>
  <c r="O16" i="2" s="1"/>
  <c r="AN15" i="2"/>
  <c r="AI15" i="2"/>
  <c r="AP15" i="2" s="1"/>
  <c r="AH15" i="2"/>
  <c r="AO15" i="2" s="1"/>
  <c r="Z15" i="2"/>
  <c r="AC15" i="2" s="1"/>
  <c r="AE15" i="2" s="1"/>
  <c r="AD15" i="2" s="1"/>
  <c r="AK15" i="2" s="1"/>
  <c r="W15" i="2"/>
  <c r="T15" i="2"/>
  <c r="L15" i="2"/>
  <c r="H15" i="2"/>
  <c r="J15" i="2" s="1"/>
  <c r="N15" i="2" s="1"/>
  <c r="AC14" i="2"/>
  <c r="Z14" i="2"/>
  <c r="AA14" i="2" s="1"/>
  <c r="O14" i="2"/>
  <c r="M14" i="2"/>
  <c r="T14" i="2" s="1"/>
  <c r="L14" i="2"/>
  <c r="N14" i="2" s="1"/>
  <c r="Q14" i="2" s="1"/>
  <c r="AT5" i="2" s="1"/>
  <c r="K14" i="2"/>
  <c r="I14" i="2"/>
  <c r="Z13" i="2"/>
  <c r="AA13" i="2" s="1"/>
  <c r="X13" i="2"/>
  <c r="U13" i="2"/>
  <c r="R13" i="2"/>
  <c r="L13" i="2"/>
  <c r="N13" i="2" s="1"/>
  <c r="I13" i="2"/>
  <c r="AE12" i="2"/>
  <c r="AD12" i="2" s="1"/>
  <c r="AC12" i="2"/>
  <c r="AI12" i="2" s="1"/>
  <c r="AA12" i="2"/>
  <c r="Z12" i="2"/>
  <c r="L12" i="2"/>
  <c r="N12" i="2" s="1"/>
  <c r="K12" i="2"/>
  <c r="I12" i="2"/>
  <c r="AH11" i="2"/>
  <c r="AF11" i="2"/>
  <c r="AE11" i="2"/>
  <c r="AD11" i="2"/>
  <c r="AC11" i="2"/>
  <c r="AI11" i="2" s="1"/>
  <c r="AA11" i="2"/>
  <c r="Z11" i="2"/>
  <c r="L11" i="2"/>
  <c r="N11" i="2" s="1"/>
  <c r="K11" i="2"/>
  <c r="I11" i="2"/>
  <c r="AJ10" i="2"/>
  <c r="AJ55" i="2" s="1"/>
  <c r="Z10" i="2"/>
  <c r="AC10" i="2" s="1"/>
  <c r="W10" i="2"/>
  <c r="T10" i="2"/>
  <c r="P10" i="2"/>
  <c r="L10" i="2"/>
  <c r="N10" i="2" s="1"/>
  <c r="K10" i="2"/>
  <c r="I10" i="2"/>
  <c r="K8" i="2"/>
  <c r="N8" i="2" s="1"/>
  <c r="BB5" i="2"/>
  <c r="M13" i="2" l="1"/>
  <c r="Q13" i="2"/>
  <c r="AS5" i="2" s="1"/>
  <c r="AT11" i="2" s="1"/>
  <c r="AT16" i="2" s="1"/>
  <c r="Q10" i="2"/>
  <c r="AP5" i="2" s="1"/>
  <c r="AQ20" i="2" s="1"/>
  <c r="AQ65" i="2" s="1"/>
  <c r="O10" i="2"/>
  <c r="R10" i="2" s="1"/>
  <c r="P36" i="2"/>
  <c r="T36" i="2"/>
  <c r="W14" i="2"/>
  <c r="AA18" i="2"/>
  <c r="AF19" i="2"/>
  <c r="AM19" i="2" s="1"/>
  <c r="M22" i="2"/>
  <c r="AH25" i="2"/>
  <c r="AE39" i="2"/>
  <c r="AE53" i="2"/>
  <c r="AE55" i="2"/>
  <c r="AC58" i="2"/>
  <c r="M65" i="2"/>
  <c r="P65" i="2" s="1"/>
  <c r="AF67" i="2"/>
  <c r="AM67" i="2" s="1"/>
  <c r="Z28" i="2"/>
  <c r="AC13" i="2"/>
  <c r="AH16" i="2"/>
  <c r="AO16" i="2" s="1"/>
  <c r="AA19" i="2"/>
  <c r="N18" i="2"/>
  <c r="AF15" i="2"/>
  <c r="AM15" i="2" s="1"/>
  <c r="K26" i="2"/>
  <c r="K46" i="2" s="1"/>
  <c r="AF34" i="2"/>
  <c r="AM34" i="2" s="1"/>
  <c r="AI53" i="2"/>
  <c r="AI55" i="2"/>
  <c r="AF57" i="2"/>
  <c r="AE66" i="2"/>
  <c r="M67" i="2"/>
  <c r="P67" i="2" s="1"/>
  <c r="O72" i="2"/>
  <c r="R72" i="2" s="1"/>
  <c r="J73" i="2"/>
  <c r="AH34" i="2"/>
  <c r="AO34" i="2" s="1"/>
  <c r="AH57" i="2"/>
  <c r="Q65" i="2"/>
  <c r="AF66" i="2"/>
  <c r="AM66" i="2" s="1"/>
  <c r="Q72" i="2"/>
  <c r="AE16" i="2"/>
  <c r="AE22" i="2"/>
  <c r="AD22" i="2" s="1"/>
  <c r="AE70" i="2"/>
  <c r="AL15" i="2"/>
  <c r="AF16" i="2"/>
  <c r="AM16" i="2" s="1"/>
  <c r="AH22" i="2"/>
  <c r="AE23" i="2"/>
  <c r="AD23" i="2" s="1"/>
  <c r="O38" i="2"/>
  <c r="AI54" i="2"/>
  <c r="Q69" i="2"/>
  <c r="AC73" i="2"/>
  <c r="M21" i="2"/>
  <c r="AI22" i="2"/>
  <c r="AH23" i="2"/>
  <c r="AC24" i="2"/>
  <c r="AH24" i="2" s="1"/>
  <c r="Q38" i="2"/>
  <c r="AI40" i="2"/>
  <c r="AP40" i="2" s="1"/>
  <c r="AC56" i="2"/>
  <c r="AH70" i="2"/>
  <c r="AO70" i="2" s="1"/>
  <c r="AH71" i="2"/>
  <c r="AF72" i="2"/>
  <c r="AM72" i="2" s="1"/>
  <c r="AM71" i="2" s="1"/>
  <c r="AM73" i="2" s="1"/>
  <c r="AA60" i="2"/>
  <c r="AE67" i="2"/>
  <c r="AI71" i="2"/>
  <c r="AH72" i="2"/>
  <c r="AO72" i="2" s="1"/>
  <c r="AQ27" i="2"/>
  <c r="AQ72" i="2" s="1"/>
  <c r="AQ14" i="2"/>
  <c r="AQ19" i="2" s="1"/>
  <c r="AQ13" i="2"/>
  <c r="AQ18" i="2" s="1"/>
  <c r="AQ10" i="2"/>
  <c r="AQ15" i="2" s="1"/>
  <c r="AU22" i="2"/>
  <c r="AU67" i="2" s="1"/>
  <c r="AU20" i="2"/>
  <c r="AU65" i="2" s="1"/>
  <c r="AU13" i="2"/>
  <c r="AU18" i="2" s="1"/>
  <c r="AU10" i="2"/>
  <c r="AU15" i="2" s="1"/>
  <c r="AU27" i="2"/>
  <c r="AU72" i="2" s="1"/>
  <c r="AU14" i="2"/>
  <c r="AU19" i="2" s="1"/>
  <c r="AU11" i="2"/>
  <c r="AU16" i="2" s="1"/>
  <c r="Q11" i="2"/>
  <c r="AQ5" i="2" s="1"/>
  <c r="O11" i="2"/>
  <c r="M11" i="2"/>
  <c r="Q33" i="2"/>
  <c r="AQ30" i="2" s="1"/>
  <c r="M33" i="2"/>
  <c r="O33" i="2"/>
  <c r="P13" i="2"/>
  <c r="W13" i="2"/>
  <c r="T13" i="2"/>
  <c r="X16" i="2"/>
  <c r="U16" i="2"/>
  <c r="R16" i="2"/>
  <c r="K17" i="2"/>
  <c r="I17" i="2"/>
  <c r="N17" i="2"/>
  <c r="O12" i="2"/>
  <c r="M12" i="2"/>
  <c r="Q12" i="2"/>
  <c r="AR5" i="2" s="1"/>
  <c r="AE10" i="2"/>
  <c r="AD10" i="2" s="1"/>
  <c r="AI10" i="2"/>
  <c r="AP10" i="2" s="1"/>
  <c r="AH10" i="2"/>
  <c r="AF10" i="2"/>
  <c r="AM10" i="2" s="1"/>
  <c r="BE38" i="2"/>
  <c r="BE40" i="2"/>
  <c r="BE33" i="2"/>
  <c r="BE34" i="2"/>
  <c r="BE42" i="2"/>
  <c r="BE47" i="2"/>
  <c r="AO55" i="2"/>
  <c r="AN55" i="2"/>
  <c r="AM55" i="2"/>
  <c r="AL55" i="2"/>
  <c r="AP55" i="2"/>
  <c r="Q15" i="2"/>
  <c r="O15" i="2"/>
  <c r="U10" i="2"/>
  <c r="AO10" i="2"/>
  <c r="BC11" i="2"/>
  <c r="BC16" i="2" s="1"/>
  <c r="Q16" i="2"/>
  <c r="AF18" i="2"/>
  <c r="AM18" i="2" s="1"/>
  <c r="AE18" i="2"/>
  <c r="AI18" i="2"/>
  <c r="AP18" i="2" s="1"/>
  <c r="M42" i="2"/>
  <c r="P22" i="2"/>
  <c r="P42" i="2" s="1"/>
  <c r="T22" i="2"/>
  <c r="AJ24" i="2"/>
  <c r="AJ27" i="2"/>
  <c r="BC27" i="2"/>
  <c r="BC72" i="2" s="1"/>
  <c r="I15" i="2"/>
  <c r="AH18" i="2"/>
  <c r="AO18" i="2" s="1"/>
  <c r="AZ42" i="2"/>
  <c r="AZ47" i="2"/>
  <c r="AZ34" i="2"/>
  <c r="AZ33" i="2"/>
  <c r="M27" i="2"/>
  <c r="O27" i="2"/>
  <c r="X10" i="2"/>
  <c r="K15" i="2"/>
  <c r="I16" i="2"/>
  <c r="N45" i="2"/>
  <c r="Q25" i="2"/>
  <c r="M25" i="2"/>
  <c r="AJ25" i="2"/>
  <c r="J46" i="2"/>
  <c r="J28" i="2"/>
  <c r="M35" i="2"/>
  <c r="O35" i="2"/>
  <c r="Q35" i="2"/>
  <c r="AS30" i="2" s="1"/>
  <c r="AE36" i="2"/>
  <c r="AH36" i="2"/>
  <c r="AO36" i="2" s="1"/>
  <c r="AI36" i="2"/>
  <c r="AP36" i="2" s="1"/>
  <c r="AF36" i="2"/>
  <c r="AM36" i="2" s="1"/>
  <c r="O37" i="2"/>
  <c r="M37" i="2"/>
  <c r="Q37" i="2"/>
  <c r="AU30" i="2" s="1"/>
  <c r="AR40" i="2"/>
  <c r="Q70" i="2"/>
  <c r="M70" i="2"/>
  <c r="P70" i="2" s="1"/>
  <c r="AE38" i="2"/>
  <c r="AI38" i="2"/>
  <c r="AP38" i="2" s="1"/>
  <c r="AH38" i="2"/>
  <c r="AO38" i="2" s="1"/>
  <c r="AF38" i="2"/>
  <c r="AM38" i="2" s="1"/>
  <c r="AZ40" i="2"/>
  <c r="AR42" i="2"/>
  <c r="O70" i="2"/>
  <c r="R70" i="2" s="1"/>
  <c r="BC22" i="2"/>
  <c r="BC67" i="2" s="1"/>
  <c r="BC20" i="2"/>
  <c r="BC65" i="2" s="1"/>
  <c r="AJ56" i="2"/>
  <c r="AJ58" i="2"/>
  <c r="AJ53" i="2"/>
  <c r="AJ54" i="2"/>
  <c r="AJ59" i="2"/>
  <c r="AJ23" i="2"/>
  <c r="AJ22" i="2"/>
  <c r="AJ21" i="2"/>
  <c r="AJ20" i="2"/>
  <c r="X14" i="2"/>
  <c r="U14" i="2"/>
  <c r="AI14" i="2"/>
  <c r="AF14" i="2"/>
  <c r="AX33" i="2"/>
  <c r="AX42" i="2"/>
  <c r="AX35" i="2"/>
  <c r="AX47" i="2"/>
  <c r="AX40" i="2"/>
  <c r="AX38" i="2"/>
  <c r="M43" i="2"/>
  <c r="P23" i="2"/>
  <c r="P43" i="2" s="1"/>
  <c r="T23" i="2"/>
  <c r="O45" i="2"/>
  <c r="R25" i="2"/>
  <c r="R45" i="2" s="1"/>
  <c r="AU5" i="2"/>
  <c r="AA10" i="2"/>
  <c r="AK10" i="2"/>
  <c r="AF12" i="2"/>
  <c r="P14" i="2"/>
  <c r="K16" i="2"/>
  <c r="AI19" i="2"/>
  <c r="AP19" i="2" s="1"/>
  <c r="AE19" i="2"/>
  <c r="W22" i="2"/>
  <c r="J44" i="2"/>
  <c r="N24" i="2"/>
  <c r="U25" i="2"/>
  <c r="N26" i="2"/>
  <c r="AX34" i="2"/>
  <c r="AL10" i="2"/>
  <c r="AJ11" i="2"/>
  <c r="AH12" i="2"/>
  <c r="AJ13" i="2"/>
  <c r="BC13" i="2"/>
  <c r="BC18" i="2" s="1"/>
  <c r="AE14" i="2"/>
  <c r="AD14" i="2" s="1"/>
  <c r="AA15" i="2"/>
  <c r="M41" i="2"/>
  <c r="P21" i="2"/>
  <c r="P41" i="2" s="1"/>
  <c r="T21" i="2"/>
  <c r="K24" i="2"/>
  <c r="K44" i="2" s="1"/>
  <c r="AF24" i="2"/>
  <c r="AE24" i="2"/>
  <c r="AD24" i="2" s="1"/>
  <c r="AI24" i="2"/>
  <c r="X25" i="2"/>
  <c r="AA28" i="2"/>
  <c r="N73" i="2"/>
  <c r="I73" i="2"/>
  <c r="K73" i="2"/>
  <c r="AW5" i="2"/>
  <c r="BC10" i="2"/>
  <c r="BC15" i="2" s="1"/>
  <c r="R14" i="2"/>
  <c r="AH14" i="2"/>
  <c r="BC14" i="2"/>
  <c r="BC19" i="2" s="1"/>
  <c r="M16" i="2"/>
  <c r="I19" i="2"/>
  <c r="N19" i="2"/>
  <c r="K19" i="2"/>
  <c r="AJ26" i="2"/>
  <c r="AI27" i="2"/>
  <c r="AH27" i="2"/>
  <c r="AF27" i="2"/>
  <c r="AE27" i="2"/>
  <c r="AD27" i="2" s="1"/>
  <c r="AL37" i="2"/>
  <c r="AD37" i="2"/>
  <c r="AK37" i="2" s="1"/>
  <c r="AZ38" i="2"/>
  <c r="AD40" i="2"/>
  <c r="AK40" i="2" s="1"/>
  <c r="AL40" i="2"/>
  <c r="K45" i="2"/>
  <c r="N47" i="2"/>
  <c r="AN10" i="2"/>
  <c r="AJ12" i="2"/>
  <c r="AJ14" i="2"/>
  <c r="AL16" i="2"/>
  <c r="AD16" i="2"/>
  <c r="AK16" i="2" s="1"/>
  <c r="AH17" i="2"/>
  <c r="AO17" i="2" s="1"/>
  <c r="AF17" i="2"/>
  <c r="AM17" i="2" s="1"/>
  <c r="AE17" i="2"/>
  <c r="W23" i="2"/>
  <c r="AJ57" i="2"/>
  <c r="AC69" i="2"/>
  <c r="AF68" i="2"/>
  <c r="AM68" i="2" s="1"/>
  <c r="AM69" i="2" s="1"/>
  <c r="AI68" i="2"/>
  <c r="AP68" i="2" s="1"/>
  <c r="AP69" i="2" s="1"/>
  <c r="AE68" i="2"/>
  <c r="I24" i="2"/>
  <c r="I44" i="2" s="1"/>
  <c r="AI25" i="2"/>
  <c r="AC26" i="2"/>
  <c r="W36" i="2"/>
  <c r="AI65" i="2"/>
  <c r="AP65" i="2" s="1"/>
  <c r="AH65" i="2"/>
  <c r="AO65" i="2" s="1"/>
  <c r="AF65" i="2"/>
  <c r="AM65" i="2" s="1"/>
  <c r="AE65" i="2"/>
  <c r="N40" i="2"/>
  <c r="AH58" i="2"/>
  <c r="AI58" i="2"/>
  <c r="AF58" i="2"/>
  <c r="AE58" i="2"/>
  <c r="AF73" i="2"/>
  <c r="AE73" i="2"/>
  <c r="O21" i="2"/>
  <c r="O22" i="2"/>
  <c r="O23" i="2"/>
  <c r="O34" i="2"/>
  <c r="M34" i="2"/>
  <c r="AL39" i="2"/>
  <c r="AD39" i="2"/>
  <c r="AK39" i="2" s="1"/>
  <c r="AR37" i="2"/>
  <c r="AR35" i="2"/>
  <c r="AR47" i="2"/>
  <c r="AR34" i="2"/>
  <c r="AR33" i="2"/>
  <c r="W38" i="2"/>
  <c r="P38" i="2"/>
  <c r="N42" i="2"/>
  <c r="N71" i="2"/>
  <c r="K71" i="2"/>
  <c r="AH73" i="2"/>
  <c r="Q21" i="2"/>
  <c r="AQ21" i="2" s="1"/>
  <c r="AQ66" i="2" s="1"/>
  <c r="Q23" i="2"/>
  <c r="I26" i="2"/>
  <c r="I46" i="2" s="1"/>
  <c r="AF33" i="2"/>
  <c r="AM33" i="2" s="1"/>
  <c r="AE33" i="2"/>
  <c r="AI33" i="2"/>
  <c r="AP33" i="2" s="1"/>
  <c r="AI35" i="2"/>
  <c r="AP35" i="2" s="1"/>
  <c r="AH35" i="2"/>
  <c r="AO35" i="2" s="1"/>
  <c r="AF35" i="2"/>
  <c r="AM35" i="2" s="1"/>
  <c r="AE35" i="2"/>
  <c r="Q36" i="2"/>
  <c r="AT30" i="2" s="1"/>
  <c r="O36" i="2"/>
  <c r="AI37" i="2"/>
  <c r="AP37" i="2" s="1"/>
  <c r="AH37" i="2"/>
  <c r="AO37" i="2" s="1"/>
  <c r="R38" i="2"/>
  <c r="X38" i="2"/>
  <c r="U38" i="2"/>
  <c r="O39" i="2"/>
  <c r="Q39" i="2"/>
  <c r="AZ39" i="2" s="1"/>
  <c r="M39" i="2"/>
  <c r="AI73" i="2"/>
  <c r="AE34" i="2"/>
  <c r="AE54" i="2"/>
  <c r="AE56" i="2"/>
  <c r="Q66" i="2"/>
  <c r="M66" i="2"/>
  <c r="P66" i="2" s="1"/>
  <c r="AP71" i="2"/>
  <c r="AP73" i="2" s="1"/>
  <c r="AF54" i="2"/>
  <c r="AF56" i="2"/>
  <c r="AC60" i="2"/>
  <c r="O66" i="2"/>
  <c r="R66" i="2" s="1"/>
  <c r="O67" i="2"/>
  <c r="R67" i="2" s="1"/>
  <c r="Q68" i="2"/>
  <c r="AE59" i="2"/>
  <c r="AL70" i="2"/>
  <c r="AD70" i="2"/>
  <c r="AK70" i="2" s="1"/>
  <c r="Z73" i="2"/>
  <c r="O69" i="2"/>
  <c r="R69" i="2" s="1"/>
  <c r="AE71" i="2"/>
  <c r="AD71" i="2" s="1"/>
  <c r="AK71" i="2" s="1"/>
  <c r="AE72" i="2"/>
  <c r="AT13" i="2" l="1"/>
  <c r="AT18" i="2" s="1"/>
  <c r="AQ22" i="2"/>
  <c r="AQ67" i="2" s="1"/>
  <c r="AT23" i="2"/>
  <c r="AT68" i="2" s="1"/>
  <c r="AT14" i="2"/>
  <c r="AT19" i="2" s="1"/>
  <c r="AT20" i="2"/>
  <c r="AT65" i="2" s="1"/>
  <c r="AT27" i="2"/>
  <c r="AT72" i="2" s="1"/>
  <c r="AT22" i="2"/>
  <c r="AT67" i="2" s="1"/>
  <c r="AT10" i="2"/>
  <c r="AT15" i="2" s="1"/>
  <c r="AX39" i="2"/>
  <c r="AZ36" i="2"/>
  <c r="AR38" i="2"/>
  <c r="AV30" i="2"/>
  <c r="M18" i="2"/>
  <c r="Q18" i="2"/>
  <c r="AL67" i="2"/>
  <c r="AD67" i="2"/>
  <c r="AK67" i="2" s="1"/>
  <c r="AD66" i="2"/>
  <c r="AK66" i="2" s="1"/>
  <c r="AL66" i="2"/>
  <c r="AX36" i="2"/>
  <c r="AI13" i="2"/>
  <c r="AH13" i="2"/>
  <c r="AF13" i="2"/>
  <c r="AE13" i="2"/>
  <c r="AD13" i="2" s="1"/>
  <c r="AQ23" i="2"/>
  <c r="AQ68" i="2" s="1"/>
  <c r="M20" i="2"/>
  <c r="W21" i="2"/>
  <c r="AO71" i="2"/>
  <c r="AO73" i="2" s="1"/>
  <c r="AZ37" i="2"/>
  <c r="AH56" i="2"/>
  <c r="AI56" i="2"/>
  <c r="AU23" i="2"/>
  <c r="AU68" i="2" s="1"/>
  <c r="AO69" i="2"/>
  <c r="AL34" i="2"/>
  <c r="AD34" i="2"/>
  <c r="AK34" i="2" s="1"/>
  <c r="P34" i="2"/>
  <c r="W34" i="2"/>
  <c r="T34" i="2"/>
  <c r="AR36" i="2"/>
  <c r="AE69" i="2"/>
  <c r="AD69" i="2" s="1"/>
  <c r="AK69" i="2" s="1"/>
  <c r="AF69" i="2"/>
  <c r="AH69" i="2"/>
  <c r="AI69" i="2"/>
  <c r="AO14" i="2"/>
  <c r="AP14" i="2"/>
  <c r="AN14" i="2"/>
  <c r="AM14" i="2"/>
  <c r="AL14" i="2"/>
  <c r="AK14" i="2"/>
  <c r="AL11" i="2"/>
  <c r="AK11" i="2"/>
  <c r="AP11" i="2"/>
  <c r="AO11" i="2"/>
  <c r="AN11" i="2"/>
  <c r="AM11" i="2"/>
  <c r="BC23" i="2"/>
  <c r="BC68" i="2" s="1"/>
  <c r="T25" i="2"/>
  <c r="P25" i="2"/>
  <c r="P45" i="2" s="1"/>
  <c r="M45" i="2"/>
  <c r="W25" i="2"/>
  <c r="O47" i="2"/>
  <c r="U27" i="2"/>
  <c r="R27" i="2"/>
  <c r="R47" i="2" s="1"/>
  <c r="X27" i="2"/>
  <c r="X26" i="2" s="1"/>
  <c r="R15" i="2"/>
  <c r="X15" i="2"/>
  <c r="U15" i="2"/>
  <c r="BE37" i="2"/>
  <c r="AQ42" i="2"/>
  <c r="AQ35" i="2"/>
  <c r="AQ47" i="2"/>
  <c r="AQ37" i="2"/>
  <c r="AQ39" i="2"/>
  <c r="AQ36" i="2"/>
  <c r="AQ40" i="2"/>
  <c r="AQ38" i="2"/>
  <c r="AQ33" i="2"/>
  <c r="AQ34" i="2"/>
  <c r="X34" i="2"/>
  <c r="R34" i="2"/>
  <c r="U34" i="2"/>
  <c r="AO57" i="2"/>
  <c r="AP57" i="2"/>
  <c r="AP56" i="2" s="1"/>
  <c r="AN57" i="2"/>
  <c r="AN56" i="2" s="1"/>
  <c r="AM57" i="2"/>
  <c r="AM56" i="2" s="1"/>
  <c r="AL57" i="2"/>
  <c r="AP12" i="2"/>
  <c r="AO12" i="2"/>
  <c r="AN12" i="2"/>
  <c r="AM12" i="2"/>
  <c r="AL12" i="2"/>
  <c r="AK12" i="2"/>
  <c r="AL19" i="2"/>
  <c r="AD19" i="2"/>
  <c r="AK19" i="2" s="1"/>
  <c r="AV25" i="2"/>
  <c r="AV70" i="2" s="1"/>
  <c r="AV27" i="2"/>
  <c r="AV72" i="2" s="1"/>
  <c r="AV20" i="2"/>
  <c r="AV65" i="2" s="1"/>
  <c r="AV13" i="2"/>
  <c r="AV18" i="2" s="1"/>
  <c r="AV10" i="2"/>
  <c r="AV15" i="2" s="1"/>
  <c r="AV22" i="2"/>
  <c r="AV67" i="2" s="1"/>
  <c r="AV12" i="2"/>
  <c r="AV17" i="2" s="1"/>
  <c r="AV21" i="2"/>
  <c r="AV66" i="2" s="1"/>
  <c r="AV14" i="2"/>
  <c r="AV19" i="2" s="1"/>
  <c r="AV11" i="2"/>
  <c r="AV16" i="2" s="1"/>
  <c r="AV23" i="2"/>
  <c r="AV68" i="2" s="1"/>
  <c r="AM20" i="2"/>
  <c r="AL20" i="2"/>
  <c r="AK20" i="2"/>
  <c r="AO20" i="2"/>
  <c r="AP20" i="2"/>
  <c r="AN20" i="2"/>
  <c r="AN30" i="2" s="1"/>
  <c r="AD36" i="2"/>
  <c r="AK36" i="2" s="1"/>
  <c r="AL36" i="2"/>
  <c r="Q45" i="2"/>
  <c r="AQ45" i="2" s="1"/>
  <c r="AZ5" i="2"/>
  <c r="M47" i="2"/>
  <c r="W27" i="2"/>
  <c r="T27" i="2"/>
  <c r="P27" i="2"/>
  <c r="P47" i="2" s="1"/>
  <c r="AS13" i="2"/>
  <c r="AS18" i="2" s="1"/>
  <c r="AS23" i="2"/>
  <c r="AS68" i="2" s="1"/>
  <c r="AS22" i="2"/>
  <c r="AS67" i="2" s="1"/>
  <c r="AS21" i="2"/>
  <c r="AS66" i="2" s="1"/>
  <c r="AS20" i="2"/>
  <c r="AS65" i="2" s="1"/>
  <c r="AS27" i="2"/>
  <c r="AS72" i="2" s="1"/>
  <c r="AS25" i="2"/>
  <c r="AS70" i="2" s="1"/>
  <c r="AS14" i="2"/>
  <c r="AS19" i="2" s="1"/>
  <c r="AS11" i="2"/>
  <c r="AS10" i="2"/>
  <c r="AS15" i="2" s="1"/>
  <c r="AS12" i="2"/>
  <c r="AS17" i="2" s="1"/>
  <c r="P11" i="2"/>
  <c r="W11" i="2"/>
  <c r="T11" i="2"/>
  <c r="AD33" i="2"/>
  <c r="AK33" i="2" s="1"/>
  <c r="AL33" i="2"/>
  <c r="O71" i="2"/>
  <c r="R71" i="2" s="1"/>
  <c r="M71" i="2"/>
  <c r="P71" i="2" s="1"/>
  <c r="Q71" i="2"/>
  <c r="O43" i="2"/>
  <c r="X23" i="2"/>
  <c r="X24" i="2" s="1"/>
  <c r="U23" i="2"/>
  <c r="U24" i="2" s="1"/>
  <c r="R23" i="2"/>
  <c r="R43" i="2" s="1"/>
  <c r="AI26" i="2"/>
  <c r="AH26" i="2"/>
  <c r="AF26" i="2"/>
  <c r="AE26" i="2"/>
  <c r="AD26" i="2" s="1"/>
  <c r="AK26" i="2" s="1"/>
  <c r="W24" i="2"/>
  <c r="AM21" i="2"/>
  <c r="AL21" i="2"/>
  <c r="AK21" i="2"/>
  <c r="AO21" i="2"/>
  <c r="AN21" i="2"/>
  <c r="AP21" i="2"/>
  <c r="AS42" i="2"/>
  <c r="AS47" i="2"/>
  <c r="AS37" i="2"/>
  <c r="AS34" i="2"/>
  <c r="AS40" i="2"/>
  <c r="AS38" i="2"/>
  <c r="AS33" i="2"/>
  <c r="AS39" i="2"/>
  <c r="AS35" i="2"/>
  <c r="AS36" i="2"/>
  <c r="AS45" i="2"/>
  <c r="AD18" i="2"/>
  <c r="AK18" i="2" s="1"/>
  <c r="AL18" i="2"/>
  <c r="W12" i="2"/>
  <c r="T12" i="2"/>
  <c r="P12" i="2"/>
  <c r="X11" i="2"/>
  <c r="U11" i="2"/>
  <c r="R11" i="2"/>
  <c r="P39" i="2"/>
  <c r="T39" i="2"/>
  <c r="W39" i="2"/>
  <c r="R36" i="2"/>
  <c r="U36" i="2"/>
  <c r="X36" i="2"/>
  <c r="O42" i="2"/>
  <c r="X22" i="2"/>
  <c r="U22" i="2"/>
  <c r="R22" i="2"/>
  <c r="R42" i="2" s="1"/>
  <c r="AL17" i="2"/>
  <c r="AD17" i="2"/>
  <c r="AK17" i="2" s="1"/>
  <c r="AC28" i="2"/>
  <c r="AM22" i="2"/>
  <c r="AL22" i="2"/>
  <c r="AK22" i="2"/>
  <c r="AO22" i="2"/>
  <c r="AP22" i="2"/>
  <c r="AN22" i="2"/>
  <c r="BC25" i="2"/>
  <c r="BC70" i="2" s="1"/>
  <c r="AV35" i="2"/>
  <c r="AU37" i="2"/>
  <c r="AU34" i="2"/>
  <c r="AU40" i="2"/>
  <c r="AU38" i="2"/>
  <c r="AU36" i="2"/>
  <c r="AU45" i="2"/>
  <c r="AU39" i="2"/>
  <c r="AU33" i="2"/>
  <c r="AU47" i="2"/>
  <c r="AU35" i="2"/>
  <c r="AU42" i="2"/>
  <c r="U35" i="2"/>
  <c r="R35" i="2"/>
  <c r="X35" i="2"/>
  <c r="AL56" i="2"/>
  <c r="BE36" i="2"/>
  <c r="AT12" i="2"/>
  <c r="AT17" i="2" s="1"/>
  <c r="X12" i="2"/>
  <c r="U12" i="2"/>
  <c r="R12" i="2"/>
  <c r="AR23" i="2"/>
  <c r="AR68" i="2" s="1"/>
  <c r="AR22" i="2"/>
  <c r="AR67" i="2" s="1"/>
  <c r="AR21" i="2"/>
  <c r="AR66" i="2" s="1"/>
  <c r="AR20" i="2"/>
  <c r="AR65" i="2" s="1"/>
  <c r="AR12" i="2"/>
  <c r="AR17" i="2" s="1"/>
  <c r="AR25" i="2"/>
  <c r="AR70" i="2" s="1"/>
  <c r="AR14" i="2"/>
  <c r="AR19" i="2" s="1"/>
  <c r="AR11" i="2"/>
  <c r="AR16" i="2" s="1"/>
  <c r="AR13" i="2"/>
  <c r="AR18" i="2" s="1"/>
  <c r="AR27" i="2"/>
  <c r="AR72" i="2" s="1"/>
  <c r="AR10" i="2"/>
  <c r="AR15" i="2" s="1"/>
  <c r="AQ25" i="2"/>
  <c r="AQ70" i="2" s="1"/>
  <c r="AR39" i="2"/>
  <c r="AW30" i="2"/>
  <c r="AT39" i="2"/>
  <c r="AT47" i="2"/>
  <c r="AT37" i="2"/>
  <c r="AT34" i="2"/>
  <c r="AT40" i="2"/>
  <c r="AT38" i="2"/>
  <c r="AT36" i="2"/>
  <c r="AT42" i="2"/>
  <c r="AT35" i="2"/>
  <c r="AT33" i="2"/>
  <c r="AT45" i="2"/>
  <c r="O41" i="2"/>
  <c r="O20" i="2"/>
  <c r="X21" i="2"/>
  <c r="R21" i="2"/>
  <c r="R41" i="2" s="1"/>
  <c r="U21" i="2"/>
  <c r="AD65" i="2"/>
  <c r="AK65" i="2" s="1"/>
  <c r="AL65" i="2"/>
  <c r="Q19" i="2"/>
  <c r="O19" i="2"/>
  <c r="M19" i="2"/>
  <c r="AX27" i="2"/>
  <c r="AX72" i="2" s="1"/>
  <c r="AX25" i="2"/>
  <c r="AX70" i="2" s="1"/>
  <c r="AX22" i="2"/>
  <c r="AX67" i="2" s="1"/>
  <c r="AX12" i="2"/>
  <c r="AX17" i="2" s="1"/>
  <c r="AX21" i="2"/>
  <c r="AX66" i="2" s="1"/>
  <c r="AX11" i="2"/>
  <c r="AX16" i="2" s="1"/>
  <c r="AX14" i="2"/>
  <c r="AX19" i="2" s="1"/>
  <c r="AX23" i="2"/>
  <c r="AX68" i="2" s="1"/>
  <c r="AX13" i="2"/>
  <c r="AX18" i="2" s="1"/>
  <c r="AX10" i="2"/>
  <c r="AX15" i="2" s="1"/>
  <c r="AX20" i="2"/>
  <c r="AX65" i="2" s="1"/>
  <c r="Q26" i="2"/>
  <c r="AX26" i="2" s="1"/>
  <c r="AX71" i="2" s="1"/>
  <c r="O26" i="2"/>
  <c r="N46" i="2"/>
  <c r="M26" i="2"/>
  <c r="T24" i="2"/>
  <c r="AX37" i="2"/>
  <c r="AM23" i="2"/>
  <c r="AL23" i="2"/>
  <c r="AK23" i="2"/>
  <c r="AO23" i="2"/>
  <c r="AP23" i="2"/>
  <c r="AN23" i="2"/>
  <c r="AV37" i="2"/>
  <c r="W37" i="2"/>
  <c r="T37" i="2"/>
  <c r="P37" i="2"/>
  <c r="W35" i="2"/>
  <c r="T35" i="2"/>
  <c r="P35" i="2"/>
  <c r="AZ35" i="2"/>
  <c r="AP27" i="2"/>
  <c r="AO27" i="2"/>
  <c r="AN27" i="2"/>
  <c r="AK27" i="2"/>
  <c r="AJ28" i="2"/>
  <c r="AM27" i="2"/>
  <c r="AL27" i="2"/>
  <c r="BE35" i="2"/>
  <c r="AT25" i="2"/>
  <c r="AT70" i="2" s="1"/>
  <c r="M17" i="2"/>
  <c r="O17" i="2"/>
  <c r="Q17" i="2"/>
  <c r="AL72" i="2"/>
  <c r="AL71" i="2" s="1"/>
  <c r="AD72" i="2"/>
  <c r="AK72" i="2" s="1"/>
  <c r="X39" i="2"/>
  <c r="U39" i="2"/>
  <c r="R39" i="2"/>
  <c r="AL35" i="2"/>
  <c r="AD35" i="2"/>
  <c r="AK35" i="2" s="1"/>
  <c r="Q43" i="2"/>
  <c r="AU43" i="2" s="1"/>
  <c r="AX5" i="2"/>
  <c r="AD73" i="2"/>
  <c r="AK73" i="2" s="1"/>
  <c r="AL68" i="2"/>
  <c r="AL69" i="2" s="1"/>
  <c r="AD68" i="2"/>
  <c r="AK68" i="2" s="1"/>
  <c r="U26" i="2"/>
  <c r="AM59" i="2"/>
  <c r="AP59" i="2"/>
  <c r="AO59" i="2"/>
  <c r="AN59" i="2"/>
  <c r="AL59" i="2"/>
  <c r="AJ60" i="2"/>
  <c r="X37" i="2"/>
  <c r="U37" i="2"/>
  <c r="R37" i="2"/>
  <c r="K28" i="2"/>
  <c r="K48" i="2" s="1"/>
  <c r="I28" i="2"/>
  <c r="I48" i="2" s="1"/>
  <c r="N28" i="2"/>
  <c r="J48" i="2"/>
  <c r="AK24" i="2"/>
  <c r="BE39" i="2"/>
  <c r="BC12" i="2"/>
  <c r="BC17" i="2" s="1"/>
  <c r="AU25" i="2"/>
  <c r="AU70" i="2" s="1"/>
  <c r="AQ11" i="2"/>
  <c r="AQ16" i="2" s="1"/>
  <c r="Q41" i="2"/>
  <c r="AQ41" i="2" s="1"/>
  <c r="AV5" i="2"/>
  <c r="P16" i="2"/>
  <c r="W16" i="2"/>
  <c r="T16" i="2"/>
  <c r="AK13" i="2"/>
  <c r="AM13" i="2"/>
  <c r="AL13" i="2"/>
  <c r="AP13" i="2"/>
  <c r="AO13" i="2"/>
  <c r="AN13" i="2"/>
  <c r="N44" i="2"/>
  <c r="O24" i="2"/>
  <c r="M24" i="2"/>
  <c r="Q24" i="2"/>
  <c r="AV24" i="2" s="1"/>
  <c r="AV69" i="2" s="1"/>
  <c r="AM54" i="2"/>
  <c r="AP54" i="2"/>
  <c r="AO54" i="2"/>
  <c r="AN54" i="2"/>
  <c r="AL54" i="2"/>
  <c r="BC21" i="2"/>
  <c r="BC66" i="2" s="1"/>
  <c r="AO56" i="2"/>
  <c r="AT21" i="2"/>
  <c r="AT66" i="2" s="1"/>
  <c r="R33" i="2"/>
  <c r="X33" i="2"/>
  <c r="U33" i="2"/>
  <c r="AU12" i="2"/>
  <c r="AU17" i="2" s="1"/>
  <c r="AI60" i="2"/>
  <c r="AH60" i="2"/>
  <c r="AF60" i="2"/>
  <c r="AE60" i="2"/>
  <c r="O73" i="2"/>
  <c r="R73" i="2" s="1"/>
  <c r="Q73" i="2"/>
  <c r="M73" i="2"/>
  <c r="P73" i="2" s="1"/>
  <c r="AM53" i="2"/>
  <c r="AL53" i="2"/>
  <c r="AO53" i="2"/>
  <c r="AP53" i="2"/>
  <c r="AN53" i="2"/>
  <c r="AL38" i="2"/>
  <c r="AD38" i="2"/>
  <c r="AK38" i="2" s="1"/>
  <c r="AO25" i="2"/>
  <c r="AO26" i="2" s="1"/>
  <c r="AN25" i="2"/>
  <c r="AM25" i="2"/>
  <c r="AL25" i="2"/>
  <c r="AP25" i="2"/>
  <c r="AP26" i="2" s="1"/>
  <c r="AK25" i="2"/>
  <c r="T33" i="2"/>
  <c r="P33" i="2"/>
  <c r="W33" i="2"/>
  <c r="AU21" i="2"/>
  <c r="AU66" i="2" s="1"/>
  <c r="AQ12" i="2"/>
  <c r="AQ17" i="2" s="1"/>
  <c r="AS16" i="2" l="1"/>
  <c r="K11" i="1"/>
  <c r="AL26" i="2"/>
  <c r="AR24" i="2"/>
  <c r="AR69" i="2" s="1"/>
  <c r="AS43" i="2"/>
  <c r="AT43" i="2"/>
  <c r="T18" i="2"/>
  <c r="P18" i="2"/>
  <c r="W18" i="2"/>
  <c r="AV34" i="2"/>
  <c r="AV47" i="2"/>
  <c r="AV42" i="2"/>
  <c r="AV40" i="2"/>
  <c r="AV38" i="2"/>
  <c r="AV36" i="2"/>
  <c r="AV39" i="2"/>
  <c r="AV33" i="2"/>
  <c r="AM24" i="2"/>
  <c r="M40" i="2"/>
  <c r="P20" i="2"/>
  <c r="P40" i="2" s="1"/>
  <c r="T20" i="2"/>
  <c r="T40" i="2" s="1"/>
  <c r="W20" i="2"/>
  <c r="W40" i="2" s="1"/>
  <c r="BA30" i="2"/>
  <c r="AZ43" i="2"/>
  <c r="AV43" i="2"/>
  <c r="AR43" i="2"/>
  <c r="BE43" i="2"/>
  <c r="AX43" i="2"/>
  <c r="Q46" i="2"/>
  <c r="BA5" i="2"/>
  <c r="AU26" i="2"/>
  <c r="AU71" i="2" s="1"/>
  <c r="AQ26" i="2"/>
  <c r="AQ71" i="2" s="1"/>
  <c r="AT26" i="2"/>
  <c r="AT71" i="2" s="1"/>
  <c r="BC26" i="2"/>
  <c r="BC71" i="2" s="1"/>
  <c r="X19" i="2"/>
  <c r="U19" i="2"/>
  <c r="R19" i="2"/>
  <c r="AT41" i="2"/>
  <c r="AS26" i="2"/>
  <c r="AS71" i="2" s="1"/>
  <c r="AV26" i="2"/>
  <c r="AV71" i="2" s="1"/>
  <c r="AP58" i="2"/>
  <c r="AQ43" i="2"/>
  <c r="T26" i="2"/>
  <c r="T28" i="2" s="1"/>
  <c r="Q44" i="2"/>
  <c r="AY5" i="2"/>
  <c r="AU24" i="2"/>
  <c r="AU69" i="2" s="1"/>
  <c r="AT24" i="2"/>
  <c r="AT69" i="2" s="1"/>
  <c r="AQ24" i="2"/>
  <c r="AQ69" i="2" s="1"/>
  <c r="BC24" i="2"/>
  <c r="BC69" i="2" s="1"/>
  <c r="AP60" i="2"/>
  <c r="U17" i="2"/>
  <c r="X17" i="2"/>
  <c r="R17" i="2"/>
  <c r="AL24" i="2"/>
  <c r="AX24" i="2"/>
  <c r="AX69" i="2" s="1"/>
  <c r="AW46" i="2"/>
  <c r="AW38" i="2"/>
  <c r="AW40" i="2"/>
  <c r="AW36" i="2"/>
  <c r="AW45" i="2"/>
  <c r="AW41" i="2"/>
  <c r="AW39" i="2"/>
  <c r="AW33" i="2"/>
  <c r="AW42" i="2"/>
  <c r="AW35" i="2"/>
  <c r="AW47" i="2"/>
  <c r="AW37" i="2"/>
  <c r="AW34" i="2"/>
  <c r="AW44" i="2"/>
  <c r="AW43" i="2"/>
  <c r="AO58" i="2"/>
  <c r="AO60" i="2" s="1"/>
  <c r="X28" i="2"/>
  <c r="M44" i="2"/>
  <c r="P24" i="2"/>
  <c r="P44" i="2" s="1"/>
  <c r="W17" i="2"/>
  <c r="T17" i="2"/>
  <c r="P17" i="2"/>
  <c r="AU41" i="2"/>
  <c r="O44" i="2"/>
  <c r="R24" i="2"/>
  <c r="R44" i="2" s="1"/>
  <c r="AO28" i="2"/>
  <c r="U28" i="2"/>
  <c r="AM26" i="2"/>
  <c r="AP28" i="2"/>
  <c r="AR26" i="2"/>
  <c r="AR71" i="2" s="1"/>
  <c r="AI28" i="2"/>
  <c r="AE28" i="2"/>
  <c r="AD28" i="2" s="1"/>
  <c r="AK28" i="2" s="1"/>
  <c r="AH28" i="2"/>
  <c r="AF28" i="2"/>
  <c r="AS24" i="2"/>
  <c r="AS69" i="2" s="1"/>
  <c r="BA13" i="2"/>
  <c r="BA18" i="2" s="1"/>
  <c r="BA23" i="2"/>
  <c r="BA68" i="2" s="1"/>
  <c r="BA22" i="2"/>
  <c r="BA67" i="2" s="1"/>
  <c r="BA21" i="2"/>
  <c r="BA66" i="2" s="1"/>
  <c r="BA20" i="2"/>
  <c r="BA65" i="2" s="1"/>
  <c r="BA27" i="2"/>
  <c r="BA72" i="2" s="1"/>
  <c r="BA26" i="2"/>
  <c r="BA71" i="2" s="1"/>
  <c r="BA24" i="2"/>
  <c r="BA69" i="2" s="1"/>
  <c r="BA11" i="2"/>
  <c r="BA16" i="2" s="1"/>
  <c r="BA14" i="2"/>
  <c r="BA19" i="2" s="1"/>
  <c r="BA10" i="2"/>
  <c r="BA15" i="2" s="1"/>
  <c r="BA25" i="2"/>
  <c r="BA70" i="2" s="1"/>
  <c r="BA12" i="2"/>
  <c r="BA17" i="2" s="1"/>
  <c r="AN26" i="2"/>
  <c r="AN28" i="2" s="1"/>
  <c r="AN24" i="2"/>
  <c r="M46" i="2"/>
  <c r="P26" i="2"/>
  <c r="P46" i="2" s="1"/>
  <c r="AS41" i="2"/>
  <c r="BC30" i="2"/>
  <c r="BE45" i="2"/>
  <c r="AR45" i="2"/>
  <c r="AZ45" i="2"/>
  <c r="AX45" i="2"/>
  <c r="AV45" i="2"/>
  <c r="AL58" i="2"/>
  <c r="W26" i="2"/>
  <c r="W28" i="2" s="1"/>
  <c r="AW25" i="2"/>
  <c r="AW70" i="2" s="1"/>
  <c r="AW24" i="2"/>
  <c r="AW69" i="2" s="1"/>
  <c r="AW27" i="2"/>
  <c r="AW72" i="2" s="1"/>
  <c r="AW26" i="2"/>
  <c r="AW71" i="2" s="1"/>
  <c r="AW14" i="2"/>
  <c r="AW19" i="2" s="1"/>
  <c r="AW23" i="2"/>
  <c r="AW68" i="2" s="1"/>
  <c r="AW22" i="2"/>
  <c r="AW67" i="2" s="1"/>
  <c r="AW21" i="2"/>
  <c r="AW66" i="2" s="1"/>
  <c r="AW20" i="2"/>
  <c r="AW65" i="2" s="1"/>
  <c r="AW12" i="2"/>
  <c r="AW17" i="2" s="1"/>
  <c r="AW11" i="2"/>
  <c r="AW16" i="2" s="1"/>
  <c r="AW13" i="2"/>
  <c r="AW18" i="2" s="1"/>
  <c r="AW10" i="2"/>
  <c r="AW15" i="2" s="1"/>
  <c r="AL60" i="2"/>
  <c r="AL28" i="2"/>
  <c r="AP24" i="2"/>
  <c r="AM58" i="2"/>
  <c r="AM60" i="2" s="1"/>
  <c r="AY30" i="2"/>
  <c r="AR41" i="2"/>
  <c r="BE41" i="2"/>
  <c r="AX41" i="2"/>
  <c r="AZ41" i="2"/>
  <c r="AV41" i="2"/>
  <c r="N48" i="2"/>
  <c r="Q28" i="2"/>
  <c r="AW28" i="2" s="1"/>
  <c r="AW73" i="2" s="1"/>
  <c r="M28" i="2"/>
  <c r="O28" i="2"/>
  <c r="AY27" i="2"/>
  <c r="AY72" i="2" s="1"/>
  <c r="AY26" i="2"/>
  <c r="AY71" i="2" s="1"/>
  <c r="AY14" i="2"/>
  <c r="AY19" i="2" s="1"/>
  <c r="AY25" i="2"/>
  <c r="AY70" i="2" s="1"/>
  <c r="AY24" i="2"/>
  <c r="AY69" i="2" s="1"/>
  <c r="AY22" i="2"/>
  <c r="AY67" i="2" s="1"/>
  <c r="AY12" i="2"/>
  <c r="AY17" i="2" s="1"/>
  <c r="AY21" i="2"/>
  <c r="AY66" i="2" s="1"/>
  <c r="AY11" i="2"/>
  <c r="AY16" i="2" s="1"/>
  <c r="AY23" i="2"/>
  <c r="AY68" i="2" s="1"/>
  <c r="AY13" i="2"/>
  <c r="AY18" i="2" s="1"/>
  <c r="AY10" i="2"/>
  <c r="AY15" i="2" s="1"/>
  <c r="AY20" i="2"/>
  <c r="AY65" i="2" s="1"/>
  <c r="AL73" i="2"/>
  <c r="AM28" i="2"/>
  <c r="AO24" i="2"/>
  <c r="R26" i="2"/>
  <c r="R46" i="2" s="1"/>
  <c r="O46" i="2"/>
  <c r="P19" i="2"/>
  <c r="T19" i="2"/>
  <c r="W19" i="2"/>
  <c r="O40" i="2"/>
  <c r="X20" i="2"/>
  <c r="X40" i="2" s="1"/>
  <c r="U20" i="2"/>
  <c r="U40" i="2" s="1"/>
  <c r="R20" i="2"/>
  <c r="R40" i="2" s="1"/>
  <c r="AN58" i="2"/>
  <c r="AN60" i="2" s="1"/>
  <c r="K12" i="1" l="1"/>
  <c r="G10" i="1" s="1"/>
  <c r="BC5" i="2"/>
  <c r="Q48" i="2"/>
  <c r="AQ28" i="2"/>
  <c r="AQ73" i="2" s="1"/>
  <c r="BC28" i="2"/>
  <c r="BC73" i="2" s="1"/>
  <c r="AU28" i="2"/>
  <c r="AU73" i="2" s="1"/>
  <c r="AT28" i="2"/>
  <c r="AT73" i="2" s="1"/>
  <c r="AV28" i="2"/>
  <c r="AV73" i="2" s="1"/>
  <c r="AS28" i="2"/>
  <c r="AS73" i="2" s="1"/>
  <c r="AX28" i="2"/>
  <c r="AX73" i="2" s="1"/>
  <c r="AR28" i="2"/>
  <c r="AR73" i="2" s="1"/>
  <c r="BB30" i="2"/>
  <c r="AR44" i="2"/>
  <c r="AV44" i="2"/>
  <c r="AX44" i="2"/>
  <c r="BE44" i="2"/>
  <c r="AZ44" i="2"/>
  <c r="AU44" i="2"/>
  <c r="AQ44" i="2"/>
  <c r="AS44" i="2"/>
  <c r="AT44" i="2"/>
  <c r="BC48" i="2"/>
  <c r="BC47" i="2"/>
  <c r="BC43" i="2"/>
  <c r="BC34" i="2"/>
  <c r="BC37" i="2"/>
  <c r="BC44" i="2"/>
  <c r="BC40" i="2"/>
  <c r="BC38" i="2"/>
  <c r="BC36" i="2"/>
  <c r="BC33" i="2"/>
  <c r="BC46" i="2"/>
  <c r="BC42" i="2"/>
  <c r="BC45" i="2"/>
  <c r="BC39" i="2"/>
  <c r="BC41" i="2"/>
  <c r="BC35" i="2"/>
  <c r="AY28" i="2"/>
  <c r="AY73" i="2" s="1"/>
  <c r="BA28" i="2"/>
  <c r="BA73" i="2" s="1"/>
  <c r="O48" i="2"/>
  <c r="R28" i="2"/>
  <c r="R48" i="2" s="1"/>
  <c r="BB23" i="2"/>
  <c r="BB68" i="2" s="1"/>
  <c r="BB22" i="2"/>
  <c r="BB67" i="2" s="1"/>
  <c r="BB21" i="2"/>
  <c r="BB66" i="2" s="1"/>
  <c r="BB20" i="2"/>
  <c r="BB65" i="2" s="1"/>
  <c r="BB28" i="2"/>
  <c r="BB73" i="2" s="1"/>
  <c r="BB25" i="2"/>
  <c r="BB70" i="2" s="1"/>
  <c r="BB24" i="2"/>
  <c r="BB69" i="2" s="1"/>
  <c r="BB27" i="2"/>
  <c r="BB72" i="2" s="1"/>
  <c r="BB11" i="2"/>
  <c r="BB16" i="2" s="1"/>
  <c r="BB26" i="2"/>
  <c r="BB71" i="2" s="1"/>
  <c r="BB14" i="2"/>
  <c r="BB19" i="2" s="1"/>
  <c r="BB10" i="2"/>
  <c r="BB15" i="2" s="1"/>
  <c r="BB13" i="2"/>
  <c r="BB18" i="2" s="1"/>
  <c r="BB12" i="2"/>
  <c r="BB17" i="2" s="1"/>
  <c r="BA42" i="2"/>
  <c r="BA46" i="2"/>
  <c r="BA47" i="2"/>
  <c r="BA43" i="2"/>
  <c r="BA34" i="2"/>
  <c r="BA37" i="2"/>
  <c r="BA45" i="2"/>
  <c r="BA35" i="2"/>
  <c r="BA39" i="2"/>
  <c r="BA44" i="2"/>
  <c r="BA36" i="2"/>
  <c r="BA38" i="2"/>
  <c r="BA33" i="2"/>
  <c r="BA40" i="2"/>
  <c r="BA48" i="2"/>
  <c r="BA41" i="2"/>
  <c r="M48" i="2"/>
  <c r="P28" i="2"/>
  <c r="P48" i="2" s="1"/>
  <c r="AY44" i="2"/>
  <c r="AY45" i="2"/>
  <c r="AY42" i="2"/>
  <c r="AY35" i="2"/>
  <c r="AY46" i="2"/>
  <c r="AY43" i="2"/>
  <c r="AY48" i="2"/>
  <c r="AY40" i="2"/>
  <c r="AY38" i="2"/>
  <c r="AY36" i="2"/>
  <c r="AY47" i="2"/>
  <c r="AY33" i="2"/>
  <c r="AY39" i="2"/>
  <c r="AY34" i="2"/>
  <c r="AY37" i="2"/>
  <c r="AY41" i="2"/>
  <c r="AZ28" i="2"/>
  <c r="AZ73" i="2" s="1"/>
  <c r="AZ23" i="2"/>
  <c r="AZ68" i="2" s="1"/>
  <c r="AZ22" i="2"/>
  <c r="AZ67" i="2" s="1"/>
  <c r="AZ21" i="2"/>
  <c r="AZ66" i="2" s="1"/>
  <c r="AZ20" i="2"/>
  <c r="AZ65" i="2" s="1"/>
  <c r="AZ12" i="2"/>
  <c r="AZ17" i="2" s="1"/>
  <c r="AZ27" i="2"/>
  <c r="AZ72" i="2" s="1"/>
  <c r="AZ24" i="2"/>
  <c r="AZ69" i="2" s="1"/>
  <c r="AZ11" i="2"/>
  <c r="AZ16" i="2" s="1"/>
  <c r="AZ26" i="2"/>
  <c r="AZ71" i="2" s="1"/>
  <c r="AZ14" i="2"/>
  <c r="AZ19" i="2" s="1"/>
  <c r="AZ13" i="2"/>
  <c r="AZ18" i="2" s="1"/>
  <c r="AZ10" i="2"/>
  <c r="AZ15" i="2" s="1"/>
  <c r="AZ25" i="2"/>
  <c r="AZ70" i="2" s="1"/>
  <c r="BD30" i="2"/>
  <c r="BE46" i="2"/>
  <c r="AX46" i="2"/>
  <c r="AZ46" i="2"/>
  <c r="AR46" i="2"/>
  <c r="AV46" i="2"/>
  <c r="AU46" i="2"/>
  <c r="AT46" i="2"/>
  <c r="AS46" i="2"/>
  <c r="AQ46" i="2"/>
  <c r="M14" i="1" l="1"/>
  <c r="G12" i="1" s="1"/>
  <c r="BD47" i="2"/>
  <c r="BD40" i="2"/>
  <c r="BD37" i="2"/>
  <c r="BD44" i="2"/>
  <c r="BD38" i="2"/>
  <c r="BD36" i="2"/>
  <c r="BD48" i="2"/>
  <c r="BD33" i="2"/>
  <c r="BD45" i="2"/>
  <c r="BD41" i="2"/>
  <c r="BD39" i="2"/>
  <c r="BD46" i="2"/>
  <c r="BD43" i="2"/>
  <c r="BD42" i="2"/>
  <c r="BD34" i="2"/>
  <c r="BD35" i="2"/>
  <c r="BB41" i="2"/>
  <c r="BB39" i="2"/>
  <c r="BB47" i="2"/>
  <c r="BB43" i="2"/>
  <c r="BB34" i="2"/>
  <c r="BB37" i="2"/>
  <c r="BB48" i="2"/>
  <c r="BB44" i="2"/>
  <c r="BB40" i="2"/>
  <c r="BB38" i="2"/>
  <c r="BB36" i="2"/>
  <c r="BB35" i="2"/>
  <c r="BB46" i="2"/>
  <c r="BB45" i="2"/>
  <c r="BB33" i="2"/>
  <c r="BB42" i="2"/>
  <c r="BF30" i="2"/>
  <c r="AZ48" i="2"/>
  <c r="AV48" i="2"/>
  <c r="AX48" i="2"/>
  <c r="BE48" i="2"/>
  <c r="AR48" i="2"/>
  <c r="AS48" i="2"/>
  <c r="AU48" i="2"/>
  <c r="AT48" i="2"/>
  <c r="AQ48" i="2"/>
  <c r="AW48" i="2"/>
  <c r="BD28" i="2"/>
  <c r="BD73" i="2" s="1"/>
  <c r="BD25" i="2"/>
  <c r="BD70" i="2" s="1"/>
  <c r="BD24" i="2"/>
  <c r="BD69" i="2" s="1"/>
  <c r="BD27" i="2"/>
  <c r="BD72" i="2" s="1"/>
  <c r="BD26" i="2"/>
  <c r="BD71" i="2" s="1"/>
  <c r="BD14" i="2"/>
  <c r="BD19" i="2" s="1"/>
  <c r="BD10" i="2"/>
  <c r="BD15" i="2" s="1"/>
  <c r="BD13" i="2"/>
  <c r="BD18" i="2" s="1"/>
  <c r="BD21" i="2"/>
  <c r="BD66" i="2" s="1"/>
  <c r="BD23" i="2"/>
  <c r="BD68" i="2" s="1"/>
  <c r="BD12" i="2"/>
  <c r="BD17" i="2" s="1"/>
  <c r="BD20" i="2"/>
  <c r="BD65" i="2" s="1"/>
  <c r="BD11" i="2"/>
  <c r="BD16" i="2" s="1"/>
  <c r="BD22" i="2"/>
  <c r="BD67" i="2" s="1"/>
  <c r="BF45" i="2" l="1"/>
  <c r="BF48" i="2"/>
  <c r="BF40" i="2"/>
  <c r="BF38" i="2"/>
  <c r="BF33" i="2"/>
  <c r="BF41" i="2"/>
  <c r="BF39" i="2"/>
  <c r="BF35" i="2"/>
  <c r="BF42" i="2"/>
  <c r="BF47" i="2"/>
  <c r="BF37" i="2"/>
  <c r="BF44" i="2"/>
  <c r="BF43" i="2"/>
  <c r="BF36" i="2"/>
  <c r="BF34" i="2"/>
  <c r="BF4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Nakayama, Daisuke (Tokyo)</author>
  </authors>
  <commentList>
    <comment ref="L7" authorId="0" shapeId="0" xr:uid="{4B09B117-8880-42BE-B867-D93318C37781}">
      <text>
        <r>
          <rPr>
            <b/>
            <sz val="9"/>
            <color indexed="81"/>
            <rFont val="MS P ゴシック"/>
            <family val="3"/>
            <charset val="128"/>
          </rPr>
          <t>管理職のため地域手当なし</t>
        </r>
      </text>
    </comment>
    <comment ref="G8" authorId="1" shapeId="0" xr:uid="{6597A646-53CA-445E-986B-0931461C3091}">
      <text>
        <r>
          <rPr>
            <b/>
            <sz val="9"/>
            <color indexed="81"/>
            <rFont val="MS P ゴシック"/>
            <family val="3"/>
            <charset val="128"/>
          </rPr>
          <t>Mid+30%がエクセレントゾーンより高い場合は+20%にする</t>
        </r>
      </text>
    </comment>
    <comment ref="L15" authorId="0" shapeId="0" xr:uid="{D091106A-C8F5-4F66-ACF6-8F8A3DC85AB8}">
      <text>
        <r>
          <rPr>
            <b/>
            <sz val="9"/>
            <color indexed="81"/>
            <rFont val="MS P ゴシック"/>
            <family val="3"/>
            <charset val="128"/>
          </rPr>
          <t>管理職のため地域手当なし</t>
        </r>
      </text>
    </comment>
    <comment ref="G16" authorId="1" shapeId="0" xr:uid="{AC051D3D-5ABE-4949-9840-E97369033422}">
      <text>
        <r>
          <rPr>
            <b/>
            <sz val="9"/>
            <color indexed="81"/>
            <rFont val="MS P ゴシック"/>
            <family val="3"/>
            <charset val="128"/>
          </rPr>
          <t>Mid+30%がエクセレントゾーンより高い場合は+20%にする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Takahisa Shimbo (TR/REWARDS/REW, Tokyo)</author>
    <author>Administrator</author>
  </authors>
  <commentList>
    <comment ref="K13" authorId="0" shapeId="0" xr:uid="{E1D82F3F-4F08-4130-801F-BBA3D32378D6}">
      <text>
        <r>
          <rPr>
            <b/>
            <sz val="9"/>
            <color indexed="81"/>
            <rFont val="Tahoma"/>
            <family val="2"/>
          </rPr>
          <t>Takahisa Shimbo (TR/REWARDS/REW, Tokyo):</t>
        </r>
        <r>
          <rPr>
            <sz val="9"/>
            <color indexed="81"/>
            <rFont val="Tahoma"/>
            <family val="2"/>
          </rPr>
          <t xml:space="preserve">
JG3</t>
        </r>
        <r>
          <rPr>
            <sz val="9"/>
            <color indexed="81"/>
            <rFont val="HGGothicE"/>
            <family val="3"/>
            <charset val="128"/>
          </rPr>
          <t>のレンジは引き上げる予定
制度変更前の上限に合わせているため、上限がMid+20ではない</t>
        </r>
      </text>
    </comment>
    <comment ref="K18" authorId="0" shapeId="0" xr:uid="{D86A0ED9-3801-48E8-88E9-E2EFBB6302F2}">
      <text>
        <r>
          <rPr>
            <b/>
            <sz val="9"/>
            <color indexed="81"/>
            <rFont val="Tahoma"/>
            <family val="2"/>
          </rPr>
          <t>Takahisa Shimbo (TR/REWARDS/REW, Tokyo):</t>
        </r>
        <r>
          <rPr>
            <sz val="9"/>
            <color indexed="81"/>
            <rFont val="Tahoma"/>
            <family val="2"/>
          </rPr>
          <t xml:space="preserve">
JG3</t>
        </r>
        <r>
          <rPr>
            <sz val="9"/>
            <color indexed="81"/>
            <rFont val="HGGothicE"/>
            <family val="3"/>
            <charset val="128"/>
          </rPr>
          <t>のレンジは引き上げる予定</t>
        </r>
      </text>
    </comment>
    <comment ref="AO36" authorId="1" shapeId="0" xr:uid="{820CABB5-D258-48D6-B158-6826BB61F684}">
      <text>
        <r>
          <rPr>
            <sz val="9"/>
            <color indexed="81"/>
            <rFont val="MS P ゴシック"/>
            <family val="3"/>
            <charset val="128"/>
          </rPr>
          <t xml:space="preserve">制度説明資料には6.54となっている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Nakayama, Daisuke (Tokyo)</author>
  </authors>
  <commentList>
    <comment ref="L7" authorId="0" shapeId="0" xr:uid="{F59AD044-E575-4564-A674-ED097E7B7F0F}">
      <text>
        <r>
          <rPr>
            <b/>
            <sz val="9"/>
            <color indexed="81"/>
            <rFont val="MS P ゴシック"/>
            <family val="3"/>
            <charset val="128"/>
          </rPr>
          <t>管理職のため地域手当なし</t>
        </r>
      </text>
    </comment>
    <comment ref="G8" authorId="1" shapeId="0" xr:uid="{9B1B79A5-D7B2-48C6-838F-1DD7DB917C84}">
      <text>
        <r>
          <rPr>
            <b/>
            <sz val="9"/>
            <color indexed="81"/>
            <rFont val="MS P ゴシック"/>
            <family val="3"/>
            <charset val="128"/>
          </rPr>
          <t>Mid+30%がエクセレントゾーンより高い場合は+20%にする</t>
        </r>
      </text>
    </comment>
    <comment ref="L15" authorId="0" shapeId="0" xr:uid="{E2420152-019E-4271-B969-834585FFDB2F}">
      <text>
        <r>
          <rPr>
            <b/>
            <sz val="9"/>
            <color indexed="81"/>
            <rFont val="MS P ゴシック"/>
            <family val="3"/>
            <charset val="128"/>
          </rPr>
          <t>管理職のため地域手当なし</t>
        </r>
      </text>
    </comment>
    <comment ref="G16" authorId="1" shapeId="0" xr:uid="{9FCD66D8-5432-4DAE-91A0-92F3D6B4B828}">
      <text>
        <r>
          <rPr>
            <b/>
            <sz val="9"/>
            <color indexed="81"/>
            <rFont val="MS P ゴシック"/>
            <family val="3"/>
            <charset val="128"/>
          </rPr>
          <t>Mid+30%がエクセレントゾーンより高い場合は+20%にする</t>
        </r>
      </text>
    </comment>
  </commentList>
</comments>
</file>

<file path=xl/sharedStrings.xml><?xml version="1.0" encoding="utf-8"?>
<sst xmlns="http://schemas.openxmlformats.org/spreadsheetml/2006/main" count="763" uniqueCount="229">
  <si>
    <t>昇格時昇給率・降格時降給率</t>
    <rPh sb="0" eb="3">
      <t>ショウカクジ</t>
    </rPh>
    <rPh sb="3" eb="5">
      <t>ショウキュウ</t>
    </rPh>
    <rPh sb="5" eb="6">
      <t>リツ</t>
    </rPh>
    <rPh sb="7" eb="9">
      <t>コウカク</t>
    </rPh>
    <rPh sb="9" eb="10">
      <t>ジ</t>
    </rPh>
    <rPh sb="10" eb="12">
      <t>コウキュウ</t>
    </rPh>
    <rPh sb="12" eb="13">
      <t>リツ</t>
    </rPh>
    <phoneticPr fontId="6"/>
  </si>
  <si>
    <t>昇給</t>
    <rPh sb="0" eb="1">
      <t>ノボル</t>
    </rPh>
    <phoneticPr fontId="6"/>
  </si>
  <si>
    <t>10円未満切り上げ</t>
    <rPh sb="2" eb="3">
      <t>エン</t>
    </rPh>
    <rPh sb="3" eb="5">
      <t>ミマン</t>
    </rPh>
    <rPh sb="5" eb="6">
      <t>キ</t>
    </rPh>
    <rPh sb="7" eb="8">
      <t>ア</t>
    </rPh>
    <phoneticPr fontId="6"/>
  </si>
  <si>
    <t>最低</t>
    <rPh sb="0" eb="2">
      <t>サイテイ</t>
    </rPh>
    <phoneticPr fontId="6"/>
  </si>
  <si>
    <t>標準</t>
    <rPh sb="0" eb="2">
      <t>ヒョウジュン</t>
    </rPh>
    <phoneticPr fontId="6"/>
  </si>
  <si>
    <t>最大</t>
    <rPh sb="0" eb="2">
      <t>サイダイ</t>
    </rPh>
    <phoneticPr fontId="6"/>
  </si>
  <si>
    <t>降給</t>
    <rPh sb="0" eb="2">
      <t>コウキュウ</t>
    </rPh>
    <phoneticPr fontId="6"/>
  </si>
  <si>
    <t>10円未満切り下げ</t>
    <rPh sb="2" eb="3">
      <t>エン</t>
    </rPh>
    <rPh sb="3" eb="5">
      <t>ミマン</t>
    </rPh>
    <rPh sb="5" eb="6">
      <t>キ</t>
    </rPh>
    <rPh sb="7" eb="8">
      <t>サ</t>
    </rPh>
    <phoneticPr fontId="6"/>
  </si>
  <si>
    <t>年収に占める変動報酬の割合</t>
    <rPh sb="0" eb="2">
      <t>ネンシュウ</t>
    </rPh>
    <rPh sb="3" eb="4">
      <t>シ</t>
    </rPh>
    <rPh sb="6" eb="8">
      <t>ヘンドウ</t>
    </rPh>
    <rPh sb="8" eb="10">
      <t>ホウシュウ</t>
    </rPh>
    <rPh sb="11" eb="13">
      <t>ワリアイ</t>
    </rPh>
    <phoneticPr fontId="6"/>
  </si>
  <si>
    <t>・報酬レンジ（総合職・管理職）</t>
    <rPh sb="1" eb="3">
      <t>ホウシュウ</t>
    </rPh>
    <rPh sb="7" eb="10">
      <t>ソウゴウショク</t>
    </rPh>
    <rPh sb="11" eb="14">
      <t>カンリショク</t>
    </rPh>
    <phoneticPr fontId="6"/>
  </si>
  <si>
    <t>ベンチマーク</t>
    <phoneticPr fontId="6"/>
  </si>
  <si>
    <t>基本給与</t>
    <rPh sb="0" eb="2">
      <t>キホン</t>
    </rPh>
    <rPh sb="2" eb="4">
      <t>キュウヨ</t>
    </rPh>
    <phoneticPr fontId="6"/>
  </si>
  <si>
    <t>基本給与(地域手当除く)×18ヵ月</t>
    <rPh sb="0" eb="4">
      <t>キホンキュウヨ</t>
    </rPh>
    <rPh sb="16" eb="17">
      <t>ゲツ</t>
    </rPh>
    <phoneticPr fontId="6"/>
  </si>
  <si>
    <t>DB</t>
    <phoneticPr fontId="6"/>
  </si>
  <si>
    <t>DC</t>
    <phoneticPr fontId="6"/>
  </si>
  <si>
    <t>賞与評価別係数</t>
    <rPh sb="0" eb="2">
      <t>ショウヨ</t>
    </rPh>
    <rPh sb="2" eb="4">
      <t>ヒョウカ</t>
    </rPh>
    <rPh sb="4" eb="5">
      <t>ベツ</t>
    </rPh>
    <rPh sb="5" eb="7">
      <t>ケイスウ</t>
    </rPh>
    <phoneticPr fontId="6"/>
  </si>
  <si>
    <t>↓固定</t>
    <rPh sb="1" eb="3">
      <t>コテイ</t>
    </rPh>
    <phoneticPr fontId="6"/>
  </si>
  <si>
    <t>月数換算</t>
    <rPh sb="0" eb="2">
      <t>ツキスウ</t>
    </rPh>
    <rPh sb="2" eb="4">
      <t>カンサン</t>
    </rPh>
    <phoneticPr fontId="6"/>
  </si>
  <si>
    <t>賞与月数</t>
    <rPh sb="0" eb="2">
      <t>ショウヨ</t>
    </rPh>
    <rPh sb="2" eb="4">
      <t>ツキスウ</t>
    </rPh>
    <phoneticPr fontId="6"/>
  </si>
  <si>
    <t>↓業績に応じて変動</t>
    <rPh sb="1" eb="3">
      <t>ギョウセキ</t>
    </rPh>
    <rPh sb="4" eb="5">
      <t>オウ</t>
    </rPh>
    <rPh sb="7" eb="9">
      <t>ヘンドウ</t>
    </rPh>
    <phoneticPr fontId="6"/>
  </si>
  <si>
    <t>昇格・降格後グレード→</t>
    <rPh sb="0" eb="2">
      <t>ショウカク</t>
    </rPh>
    <rPh sb="3" eb="5">
      <t>コウカク</t>
    </rPh>
    <rPh sb="5" eb="6">
      <t>ゴ</t>
    </rPh>
    <phoneticPr fontId="6"/>
  </si>
  <si>
    <t>旧グレード</t>
    <rPh sb="0" eb="1">
      <t>キュウ</t>
    </rPh>
    <phoneticPr fontId="6"/>
  </si>
  <si>
    <t>GG</t>
    <phoneticPr fontId="6"/>
  </si>
  <si>
    <t>コード</t>
  </si>
  <si>
    <t>職種</t>
  </si>
  <si>
    <t>勤務区分</t>
  </si>
  <si>
    <t>勤務区分差分</t>
  </si>
  <si>
    <t>下限</t>
  </si>
  <si>
    <t>中央</t>
  </si>
  <si>
    <t>上限</t>
  </si>
  <si>
    <t>地域手当</t>
  </si>
  <si>
    <t>換算率</t>
    <rPh sb="0" eb="2">
      <t>カンサン</t>
    </rPh>
    <rPh sb="2" eb="3">
      <t>リツ</t>
    </rPh>
    <phoneticPr fontId="6"/>
  </si>
  <si>
    <t>変動報酬割合</t>
    <rPh sb="0" eb="2">
      <t>ヘンドウ</t>
    </rPh>
    <rPh sb="2" eb="4">
      <t>ホウシュウ</t>
    </rPh>
    <rPh sb="4" eb="6">
      <t>ワリアイ</t>
    </rPh>
    <phoneticPr fontId="6"/>
  </si>
  <si>
    <t>変動報酬割合2</t>
    <rPh sb="0" eb="2">
      <t>ヘンドウ</t>
    </rPh>
    <rPh sb="2" eb="4">
      <t>ホウシュウ</t>
    </rPh>
    <rPh sb="4" eb="6">
      <t>ワリアイ</t>
    </rPh>
    <phoneticPr fontId="6"/>
  </si>
  <si>
    <t>固定賞与部分</t>
    <rPh sb="0" eb="2">
      <t>コテイ</t>
    </rPh>
    <rPh sb="2" eb="4">
      <t>ショウヨ</t>
    </rPh>
    <rPh sb="4" eb="6">
      <t>ブブン</t>
    </rPh>
    <phoneticPr fontId="6"/>
  </si>
  <si>
    <t>ABS比率</t>
    <rPh sb="3" eb="5">
      <t>ヒリツ</t>
    </rPh>
    <phoneticPr fontId="6"/>
  </si>
  <si>
    <t>個人考課係数</t>
    <rPh sb="0" eb="2">
      <t>コジン</t>
    </rPh>
    <rPh sb="2" eb="4">
      <t>コウカ</t>
    </rPh>
    <rPh sb="4" eb="6">
      <t>ケイスウ</t>
    </rPh>
    <phoneticPr fontId="6"/>
  </si>
  <si>
    <t>E</t>
    <phoneticPr fontId="6"/>
  </si>
  <si>
    <t>1-UP</t>
    <phoneticPr fontId="6"/>
  </si>
  <si>
    <t>2-NI</t>
    <phoneticPr fontId="6"/>
  </si>
  <si>
    <t>3-ME</t>
    <phoneticPr fontId="6"/>
  </si>
  <si>
    <t>4-EE</t>
    <phoneticPr fontId="6"/>
  </si>
  <si>
    <t>5-OP</t>
    <phoneticPr fontId="6"/>
  </si>
  <si>
    <t>賞与月数</t>
  </si>
  <si>
    <t>GG07</t>
    <phoneticPr fontId="6"/>
  </si>
  <si>
    <t>GG08</t>
    <phoneticPr fontId="6"/>
  </si>
  <si>
    <t>GG09</t>
    <phoneticPr fontId="1"/>
  </si>
  <si>
    <t>GG10</t>
  </si>
  <si>
    <t>GG11</t>
  </si>
  <si>
    <t>GG12_R</t>
    <phoneticPr fontId="6"/>
  </si>
  <si>
    <t>GG12</t>
    <phoneticPr fontId="6"/>
  </si>
  <si>
    <t>GG13</t>
  </si>
  <si>
    <t>GG14</t>
  </si>
  <si>
    <t>GG15</t>
  </si>
  <si>
    <t>GG16</t>
  </si>
  <si>
    <t>GG17</t>
  </si>
  <si>
    <t>GG18</t>
  </si>
  <si>
    <t>GG19</t>
  </si>
  <si>
    <t>C</t>
    <phoneticPr fontId="6"/>
  </si>
  <si>
    <t>JG01</t>
    <phoneticPr fontId="6"/>
  </si>
  <si>
    <t>GG08</t>
    <phoneticPr fontId="1"/>
  </si>
  <si>
    <t>JG1</t>
    <phoneticPr fontId="6"/>
  </si>
  <si>
    <t>JG02</t>
    <phoneticPr fontId="6"/>
  </si>
  <si>
    <t>JG2</t>
  </si>
  <si>
    <t>JG03</t>
    <phoneticPr fontId="6"/>
  </si>
  <si>
    <t>JG3</t>
  </si>
  <si>
    <t>JG04</t>
    <phoneticPr fontId="6"/>
  </si>
  <si>
    <t>GG11</t>
    <phoneticPr fontId="6"/>
  </si>
  <si>
    <t>JG4</t>
  </si>
  <si>
    <t>同上</t>
    <rPh sb="0" eb="2">
      <t>ドウジョウ</t>
    </rPh>
    <phoneticPr fontId="6"/>
  </si>
  <si>
    <t>JG06</t>
    <phoneticPr fontId="6"/>
  </si>
  <si>
    <t>GG12</t>
  </si>
  <si>
    <t>JG07</t>
    <phoneticPr fontId="6"/>
  </si>
  <si>
    <t>JG08</t>
    <phoneticPr fontId="6"/>
  </si>
  <si>
    <t>JG09</t>
    <phoneticPr fontId="6"/>
  </si>
  <si>
    <t>JG10</t>
  </si>
  <si>
    <t>GG19</t>
    <phoneticPr fontId="6"/>
  </si>
  <si>
    <t>・報酬レンジ（生産技術職）</t>
    <rPh sb="1" eb="3">
      <t>ホウシュウ</t>
    </rPh>
    <rPh sb="7" eb="9">
      <t>セイサン</t>
    </rPh>
    <rPh sb="9" eb="12">
      <t>ギジュツショク</t>
    </rPh>
    <phoneticPr fontId="6"/>
  </si>
  <si>
    <t>基本給与(地域手当除く)×18ヵ月</t>
    <rPh sb="0" eb="2">
      <t>キホン</t>
    </rPh>
    <rPh sb="2" eb="4">
      <t>キュウヨ</t>
    </rPh>
    <rPh sb="5" eb="7">
      <t>チイキ</t>
    </rPh>
    <rPh sb="7" eb="9">
      <t>テアテ</t>
    </rPh>
    <rPh sb="9" eb="10">
      <t>ノゾ</t>
    </rPh>
    <rPh sb="16" eb="17">
      <t>ゲツ</t>
    </rPh>
    <phoneticPr fontId="6"/>
  </si>
  <si>
    <t>DB</t>
  </si>
  <si>
    <t>DC</t>
  </si>
  <si>
    <t>旧グレード</t>
  </si>
  <si>
    <t>ジョブグレード</t>
    <phoneticPr fontId="6"/>
  </si>
  <si>
    <t>E</t>
  </si>
  <si>
    <t>FⅠ</t>
  </si>
  <si>
    <t>FⅡ1</t>
  </si>
  <si>
    <t>FⅡ2</t>
  </si>
  <si>
    <t>FⅢ2</t>
  </si>
  <si>
    <t>FⅢ3</t>
  </si>
  <si>
    <t>FⅣ3</t>
  </si>
  <si>
    <t>FⅣ4</t>
  </si>
  <si>
    <t>F01</t>
  </si>
  <si>
    <t>F02_01</t>
  </si>
  <si>
    <t>F02_02</t>
  </si>
  <si>
    <t>F03_02</t>
  </si>
  <si>
    <t>F03_03</t>
  </si>
  <si>
    <t>F04_03</t>
  </si>
  <si>
    <t>F04_04</t>
  </si>
  <si>
    <t>F05</t>
    <phoneticPr fontId="6"/>
  </si>
  <si>
    <t>・報酬レンジ（年棒制）</t>
    <rPh sb="1" eb="3">
      <t>ホウシュウ</t>
    </rPh>
    <rPh sb="7" eb="10">
      <t>ネンボウセイ</t>
    </rPh>
    <phoneticPr fontId="6"/>
  </si>
  <si>
    <t>5-OP</t>
  </si>
  <si>
    <t>GG7</t>
    <phoneticPr fontId="6"/>
  </si>
  <si>
    <t>GG8</t>
    <phoneticPr fontId="6"/>
  </si>
  <si>
    <t>GG9</t>
  </si>
  <si>
    <t>・報酬レンジ（特別プロフェッショナル社員）</t>
    <rPh sb="1" eb="3">
      <t>ホウシュウ</t>
    </rPh>
    <rPh sb="7" eb="9">
      <t>トクベツ</t>
    </rPh>
    <rPh sb="18" eb="20">
      <t>シャイン</t>
    </rPh>
    <phoneticPr fontId="6"/>
  </si>
  <si>
    <t>基本給与(地域手当除く)×16ヵ月</t>
    <rPh sb="0" eb="2">
      <t>キホン</t>
    </rPh>
    <rPh sb="2" eb="4">
      <t>キュウヨ</t>
    </rPh>
    <rPh sb="5" eb="7">
      <t>チイキ</t>
    </rPh>
    <rPh sb="7" eb="9">
      <t>テアテ</t>
    </rPh>
    <rPh sb="9" eb="10">
      <t>ノゾ</t>
    </rPh>
    <rPh sb="16" eb="17">
      <t>ゲツ</t>
    </rPh>
    <phoneticPr fontId="6"/>
  </si>
  <si>
    <t>上限(昇給ありの上限)</t>
    <rPh sb="3" eb="5">
      <t>ショウキュウ</t>
    </rPh>
    <rPh sb="8" eb="10">
      <t>ジョウゲン</t>
    </rPh>
    <phoneticPr fontId="6"/>
  </si>
  <si>
    <t>下限</t>
    <phoneticPr fontId="6"/>
  </si>
  <si>
    <t>JG05</t>
    <phoneticPr fontId="6"/>
  </si>
  <si>
    <t>■昇降格時の報酬試算ツール</t>
  </si>
  <si>
    <t>1．現在の労働契約をプルダウンから選択してください</t>
  </si>
  <si>
    <t>2．現在の等級をプルダウンから選択してください</t>
  </si>
  <si>
    <t>現在（変更前）</t>
  </si>
  <si>
    <t>昇降格後（変更後）</t>
  </si>
  <si>
    <t>総合職（全国・地域コース）</t>
  </si>
  <si>
    <t>総合職（事業所コース）</t>
  </si>
  <si>
    <t>特定職（事業所コース）</t>
  </si>
  <si>
    <t>（調整給がある方は、調整給を手入力してください）</t>
  </si>
  <si>
    <t>昇降給率</t>
  </si>
  <si>
    <t>下限値</t>
  </si>
  <si>
    <t>上限値</t>
  </si>
  <si>
    <t>昇降給額</t>
  </si>
  <si>
    <t>4．昇格後の等級をタブから選択してください</t>
  </si>
  <si>
    <t>昇給額＋現（基本＋調）</t>
  </si>
  <si>
    <t>１</t>
  </si>
  <si>
    <t>調整給変動</t>
  </si>
  <si>
    <t>労働契約①</t>
  </si>
  <si>
    <t>ジョブグレード</t>
  </si>
  <si>
    <t>昇格後（変更後）</t>
  </si>
  <si>
    <t>1．現在の等級をプルダウンから選択してください</t>
  </si>
  <si>
    <t>3．昇格後の等級をタブから選択してください</t>
  </si>
  <si>
    <t>管理職（HQ/SJ）</t>
  </si>
  <si>
    <t>領域限定管理職</t>
  </si>
  <si>
    <t>（調整給が生じる場合は、調整給が表示されます）</t>
  </si>
  <si>
    <t xml:space="preserve">New </t>
  </si>
  <si>
    <t>1．Select your current employment contract from the dropdown menu.</t>
  </si>
  <si>
    <t>2．Select your current grade from the dropdown menu.</t>
  </si>
  <si>
    <r>
      <t xml:space="preserve">3．Enter your current base salary </t>
    </r>
    <r>
      <rPr>
        <b/>
        <u/>
        <sz val="11"/>
        <color theme="1"/>
        <rFont val="Yu Gothic UI"/>
        <family val="3"/>
        <charset val="128"/>
      </rPr>
      <t>manually.</t>
    </r>
  </si>
  <si>
    <t>（Enter your current adjustment allowance if applicable.）</t>
  </si>
  <si>
    <t>If an adjustment allowance applies, the amount will be displayed in the right box</t>
  </si>
  <si>
    <t>■Compensation Estimation Tool for Promotions and Demotions</t>
  </si>
  <si>
    <t>4．Select the grade after promotion or demotion from the dropdown menu</t>
  </si>
  <si>
    <t>1．Select your current grade from the dropdown menu.</t>
  </si>
  <si>
    <r>
      <t xml:space="preserve">2．Enter your current base salary </t>
    </r>
    <r>
      <rPr>
        <b/>
        <u/>
        <sz val="11"/>
        <color theme="1"/>
        <rFont val="Yu Gothic UI"/>
        <family val="3"/>
        <charset val="128"/>
      </rPr>
      <t>manually.</t>
    </r>
  </si>
  <si>
    <t>（If an adjustment allowance applies, the amount will be displayed in the right box）</t>
  </si>
  <si>
    <t>■Compensation Estimation Tool for Promotion</t>
  </si>
  <si>
    <t>■昇格時の報酬試算ツール</t>
  </si>
  <si>
    <t>Employee Contract</t>
  </si>
  <si>
    <t>Sougoushoku “Zenkoku Course”</t>
  </si>
  <si>
    <t>Sougoushoku “Jigyousho Course”</t>
  </si>
  <si>
    <t>Tokuteishoku</t>
  </si>
  <si>
    <t>Ryoiki-Gentei-Manager</t>
  </si>
  <si>
    <t xml:space="preserve">HQ/SJ Manager </t>
  </si>
  <si>
    <t>Current</t>
  </si>
  <si>
    <t>3．Select the grade after promotion from the dropdown menu</t>
  </si>
  <si>
    <r>
      <t>3．現在の基本給与（月額）を</t>
    </r>
    <r>
      <rPr>
        <b/>
        <u/>
        <sz val="11"/>
        <color theme="1"/>
        <rFont val="Yu Gothic UI"/>
        <family val="3"/>
        <charset val="128"/>
      </rPr>
      <t>手入力</t>
    </r>
    <r>
      <rPr>
        <sz val="11"/>
        <color theme="1"/>
        <rFont val="Yu Gothic UI"/>
        <family val="3"/>
        <charset val="128"/>
      </rPr>
      <t>してください</t>
    </r>
  </si>
  <si>
    <t>★昇降格後の基本給与（月額）</t>
  </si>
  <si>
    <t>★Base salary after promotion/demotion</t>
  </si>
  <si>
    <r>
      <t>2．現在の基本給与（月額）を</t>
    </r>
    <r>
      <rPr>
        <b/>
        <u/>
        <sz val="11"/>
        <color theme="1"/>
        <rFont val="Yu Gothic UI"/>
        <family val="3"/>
        <charset val="128"/>
      </rPr>
      <t>手入力</t>
    </r>
    <r>
      <rPr>
        <sz val="11"/>
        <color theme="1"/>
        <rFont val="Yu Gothic UI"/>
        <family val="3"/>
        <charset val="128"/>
      </rPr>
      <t>してください</t>
    </r>
  </si>
  <si>
    <t>★Base salary after promotion</t>
  </si>
  <si>
    <t>★昇格後の基本給与（月額）</t>
  </si>
  <si>
    <t>●美容職　報酬レンジ</t>
    <rPh sb="1" eb="4">
      <t>ビヨウショク</t>
    </rPh>
    <rPh sb="5" eb="7">
      <t>ホウシュウ</t>
    </rPh>
    <phoneticPr fontId="23"/>
  </si>
  <si>
    <t>※使用データ(KF)</t>
    <rPh sb="1" eb="3">
      <t>シヨウ</t>
    </rPh>
    <phoneticPr fontId="12"/>
  </si>
  <si>
    <t>昇格時昇給率</t>
    <rPh sb="0" eb="3">
      <t>ショウカクジ</t>
    </rPh>
    <rPh sb="3" eb="5">
      <t>ショウキュウ</t>
    </rPh>
    <rPh sb="5" eb="6">
      <t>リツ</t>
    </rPh>
    <phoneticPr fontId="23"/>
  </si>
  <si>
    <t>降格時降給率</t>
    <phoneticPr fontId="23"/>
  </si>
  <si>
    <t>2020_75%ile</t>
  </si>
  <si>
    <t>ベンチマーク</t>
  </si>
  <si>
    <t>月額</t>
  </si>
  <si>
    <t>年収</t>
  </si>
  <si>
    <t>昇格昇給/降格降給</t>
    <rPh sb="0" eb="2">
      <t>ショウカク</t>
    </rPh>
    <rPh sb="2" eb="4">
      <t>ショウキュウ</t>
    </rPh>
    <rPh sb="5" eb="7">
      <t>コウカク</t>
    </rPh>
    <rPh sb="7" eb="9">
      <t>コウキュウ</t>
    </rPh>
    <phoneticPr fontId="23"/>
  </si>
  <si>
    <t>現等級</t>
  </si>
  <si>
    <t>新等級</t>
  </si>
  <si>
    <t>下限-Mid</t>
  </si>
  <si>
    <t>Mid-上限</t>
  </si>
  <si>
    <t>Mid</t>
  </si>
  <si>
    <t>エクセレントゾーン</t>
  </si>
  <si>
    <t>地域手当（年間）</t>
  </si>
  <si>
    <t>下限</t>
    <phoneticPr fontId="23"/>
  </si>
  <si>
    <t>Mid</t>
    <phoneticPr fontId="23"/>
  </si>
  <si>
    <t>上限</t>
    <phoneticPr fontId="23"/>
  </si>
  <si>
    <t>エクセレントゾーン</t>
    <phoneticPr fontId="23"/>
  </si>
  <si>
    <t>BG7</t>
    <phoneticPr fontId="23"/>
  </si>
  <si>
    <t>BG8</t>
  </si>
  <si>
    <t>BG9</t>
  </si>
  <si>
    <t>BG9+</t>
    <phoneticPr fontId="23"/>
  </si>
  <si>
    <t>BG10</t>
    <phoneticPr fontId="23"/>
  </si>
  <si>
    <t>BG11</t>
  </si>
  <si>
    <t>GG12_RB</t>
  </si>
  <si>
    <t>月額レンジ上限</t>
    <rPh sb="0" eb="2">
      <t>ゲツガク</t>
    </rPh>
    <rPh sb="5" eb="7">
      <t>ジョウゲン</t>
    </rPh>
    <phoneticPr fontId="2"/>
  </si>
  <si>
    <t>地域C</t>
    <rPh sb="0" eb="2">
      <t>チイキ</t>
    </rPh>
    <phoneticPr fontId="23"/>
  </si>
  <si>
    <t>BCマネージャー</t>
  </si>
  <si>
    <t>-</t>
  </si>
  <si>
    <t>※事業所Cの数字を準用</t>
    <rPh sb="1" eb="4">
      <t>ジギョウショ</t>
    </rPh>
    <rPh sb="6" eb="8">
      <t>スウジ</t>
    </rPh>
    <rPh sb="9" eb="11">
      <t>ジュンヨウ</t>
    </rPh>
    <phoneticPr fontId="23"/>
  </si>
  <si>
    <t>BⅣ</t>
  </si>
  <si>
    <t>BG11</t>
    <phoneticPr fontId="23"/>
  </si>
  <si>
    <t>BⅢ(BLS)</t>
  </si>
  <si>
    <t>BG9+</t>
  </si>
  <si>
    <t>BⅢ(BLS以外)</t>
  </si>
  <si>
    <t>BG9</t>
    <phoneticPr fontId="23"/>
  </si>
  <si>
    <t>BⅡ</t>
  </si>
  <si>
    <t>BG8</t>
    <phoneticPr fontId="23"/>
  </si>
  <si>
    <t>BⅠ</t>
  </si>
  <si>
    <t>事業所C</t>
    <rPh sb="0" eb="3">
      <t>ジギョウショ</t>
    </rPh>
    <phoneticPr fontId="23"/>
  </si>
  <si>
    <t>地域C(地域手当あり)</t>
    <rPh sb="0" eb="2">
      <t>チイキ</t>
    </rPh>
    <rPh sb="4" eb="6">
      <t>チイキ</t>
    </rPh>
    <rPh sb="6" eb="8">
      <t>テアテ</t>
    </rPh>
    <phoneticPr fontId="23"/>
  </si>
  <si>
    <t>※地域Cと事業所Cの差分</t>
    <rPh sb="1" eb="3">
      <t>チイキ</t>
    </rPh>
    <rPh sb="5" eb="8">
      <t>ジギョウショ</t>
    </rPh>
    <rPh sb="10" eb="12">
      <t>サブン</t>
    </rPh>
    <phoneticPr fontId="23"/>
  </si>
  <si>
    <t>BG10</t>
  </si>
  <si>
    <t>地域C基本給（月）</t>
    <rPh sb="0" eb="2">
      <t>チイキ</t>
    </rPh>
    <rPh sb="3" eb="6">
      <t>キホンキュウ</t>
    </rPh>
    <rPh sb="7" eb="8">
      <t>ツキ</t>
    </rPh>
    <phoneticPr fontId="23"/>
  </si>
  <si>
    <t>事業所C基本給（月）</t>
    <rPh sb="0" eb="3">
      <t>ジギョウショ</t>
    </rPh>
    <rPh sb="4" eb="7">
      <t>キホンキュウ</t>
    </rPh>
    <phoneticPr fontId="23"/>
  </si>
  <si>
    <t>差分</t>
    <rPh sb="0" eb="2">
      <t>サブン</t>
    </rPh>
    <phoneticPr fontId="23"/>
  </si>
  <si>
    <t>BG7</t>
  </si>
  <si>
    <t>事業所C(地域手当あり)</t>
    <rPh sb="0" eb="3">
      <t>ジギョウショ</t>
    </rPh>
    <rPh sb="5" eb="7">
      <t>チイキ</t>
    </rPh>
    <rPh sb="7" eb="9">
      <t>テアテ</t>
    </rPh>
    <phoneticPr fontId="23"/>
  </si>
  <si>
    <t>制度上ない</t>
  </si>
  <si>
    <t>BG</t>
  </si>
  <si>
    <t>美容職（事業所コース）</t>
  </si>
  <si>
    <t>美容職（地域コース）</t>
  </si>
  <si>
    <t>※2024年11月作成</t>
  </si>
  <si>
    <t>*As of November 2024</t>
  </si>
  <si>
    <t>※2025年3月作成</t>
  </si>
  <si>
    <t>※本ツールは、特定職→総合職 または、総合職内での昇降格時の報酬試算ツールです。
※一般社員から管理職（GG12・GG12R・GG12RB以上）に昇格したケースについては本ツールでは試算ができません（管理職昇格者には、発令日の前月上旬に、HRより昇格後の基本給与の算出方法を含めた制度資料をメールにて別途ご案内しております）
【管理職の方へ】管理職内の昇降格時の報酬試算については、TOSS＞人事＞人事HP＞管理職向け＞報酬＞昇降格時の報酬試算ツールのページ内に、『昇降格時の報酬試算ツール【管理職＆ALL】』のリンクを掲載しておりますのでそちらをご参照ください。</t>
  </si>
  <si>
    <t>*This tool is a compensation estimation tool for promotions or demotions from a "Tokutei-shoku" to a "Sougou-shoku", or between "Sougou-shoku".
*This tool cannot be used to estimate cases where an employee is promoted from a Non-Manager position to a managerial position (GG12, GG12R, GG12RB, or higher). For those promoted to managerial positions, HR will provide separate guidance via email in early the month before the effective date, including information on how the basic salary will be calculated after the promotion.
[For Managers] For estimates of compensation during promotions or demotions within management positions, please refer to the "Compensation Estimation Tool for Promotions and Demotions [Management &amp; ALL]" link available on the TOSS &gt; HR &gt; Human Resource Information Site&gt; For Managers &gt; Reward &gt; Compensation Estimation Tool for Promotion and Demotion page.</t>
  </si>
  <si>
    <t>※本ツールは、生産技術職内での昇格時の報酬試算ツールです。
※一般社員から管理職（GG12・GG12R・GG12RB以上）に昇格したケースについては本ツールでは試算ができません（管理職昇格者には、発令日の前月上旬に、HRより昇格後の基本給与の算出方法を含めた制度資料をメールにて別途ご案内しております）
【管理職の方へ】管理職内の昇降格時の報酬試算については、TOSS＞人事＞人事HP＞管理職向け＞報酬＞昇降格時の報酬試算ツールのページ内に、『昇降格時の報酬試算ツール【管理職＆ALL】』のリンクを掲載しておりますのでそちらをご参照ください。</t>
  </si>
  <si>
    <t>*This tool is a compensation estimation tool for promotions among ”Seisan-Gijutsu-shoku”.
*This tool cannot be used to estimate cases where an employee is promoted from a Non-Manager position to a managerial position (GG12, GG12R, GG12RB, or higher). For those promoted to managerial positions, HR will provide separate guidance via email in early the month before the effective date, including information on how the basic salary will be calculated after the promotion.
[For Managers] For estimates of compensation during promotions or demotions within management positions, please refer to the "Compensation Estimation Tool for Promotions and Demotions [Management &amp; ALL]" link available on the TOSS &gt; HR &gt; Human Resource Information Site&gt; For Managers &gt; Reward &gt; Compensation Estimation Tool for Promotion and Demotion page.</t>
  </si>
  <si>
    <t>グレード変更後</t>
  </si>
  <si>
    <t>4．グレード変更後の等級をタブから選択してください</t>
  </si>
  <si>
    <t>★グレード変更後の基本給与（月額）</t>
  </si>
  <si>
    <t>■グレード変更時の報酬試算ツール</t>
  </si>
  <si>
    <t>※本ツールは、美容職内でのグレード変更時の報酬試算ツールです。
※一般社員から管理職（GG12・GG12RB以上）に昇格したケースについては本ツールでは試算ができません（管理職昇格者には、発令日の前月上旬に、HRより昇格後の基本給与の算出方法を含めた制度資料をメールにて別途ご案内しております）
【管理職の方へ】管理職内の昇降格時の報酬試算については、TOSS＞人事＞人事HP＞管理職向け＞報酬＞昇降格時の報酬試算ツールのページ内に、『昇降格時の報酬試算ツール【管理職＆ALL】』のリンクを掲載しておりますのでそちらをご参照ください。</t>
  </si>
  <si>
    <t>GG09</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</si>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</sst>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164" formatCode="#,##0.0_);[Red]\(#,##0.0\)"/>
    <numFmt numFmtId="165" formatCode="#,##0.0;[Red]\-#,##0.0"/>
    <numFmt numFmtId="166" formatCode="0.000%"/>
    <numFmt numFmtId="167" formatCode="_-* #,##0.000_-;\-* #,##0.000_-;_-* &quot;-&quot;_-;_-@_-"/>
    <numFmt numFmtId="168" formatCode="#,##0.0000;[Red]\-#,##0.0000"/>
    <numFmt numFmtId="169" formatCode="#,##0.0000_);[Red]\(#,##0.0000\)"/>
    <numFmt numFmtId="170" formatCode="#,##0.0"/>
    <numFmt numFmtId="171" formatCode="0.0%"/>
    <numFmt numFmtId="172" formatCode="_-* #,##0.0000_-;\-* #,##0.0000_-;_-* &quot;-&quot;_-;_-@_-"/>
    <numFmt numFmtId="173" formatCode="#,##0_ "/>
    <numFmt numFmtId="174" formatCode="#,##0_ ;\-#,##0\ "/>
  </numFmts>
  <fonts count="37">
    <font>
      <sz val="11"/>
      <color theme="1"/>
      <name val="Aptos Narrow"/>
      <family val="2"/>
      <charset val="128"/>
      <scheme val="minor"/>
    </font>
    <font>
      <sz val="10"/>
      <color theme="1"/>
      <name val="Arial"/>
      <family val="2"/>
      <charset val="128"/>
    </font>
    <font>
      <sz val="10"/>
      <color theme="1"/>
      <name val="Meiryo UI"/>
      <family val="3"/>
      <charset val="128"/>
    </font>
    <font>
      <b/>
      <sz val="10"/>
      <color rgb="FFFF0000"/>
      <name val="Meiryo UI"/>
      <family val="3"/>
      <charset val="128"/>
    </font>
    <font>
      <sz val="10"/>
      <color rgb="FF0070C0"/>
      <name val="Meiryo UI"/>
      <family val="3"/>
      <charset val="128"/>
    </font>
    <font>
      <sz val="10"/>
      <name val="Meiryo UI"/>
      <family val="3"/>
      <charset val="128"/>
    </font>
    <font>
      <sz val="10"/>
      <color theme="4"/>
      <name val="Meiryo UI"/>
      <family val="3"/>
      <charset val="128"/>
    </font>
    <font>
      <sz val="10"/>
      <color theme="1"/>
      <name val="Arial"/>
      <family val="2"/>
    </font>
    <font>
      <sz val="10"/>
      <color theme="1"/>
      <name val="ＭＳ Ｐゴシック"/>
      <family val="2"/>
      <charset val="128"/>
    </font>
    <font>
      <b/>
      <sz val="9"/>
      <color indexed="81"/>
      <name val="Tahoma"/>
      <family val="2"/>
    </font>
    <font>
      <sz val="9"/>
      <color indexed="81"/>
      <name val="Tahoma"/>
      <family val="2"/>
    </font>
    <font>
      <sz val="9"/>
      <color indexed="81"/>
      <name val="HGGothicE"/>
      <family val="3"/>
      <charset val="128"/>
    </font>
    <font>
      <sz val="9"/>
      <color indexed="81"/>
      <name val="MS P ゴシック"/>
      <family val="3"/>
      <charset val="128"/>
    </font>
    <font>
      <sz val="11"/>
      <color theme="1"/>
      <name val="Yu Gothic UI"/>
      <family val="3"/>
      <charset val="128"/>
    </font>
    <font>
      <b/>
      <sz val="14"/>
      <color theme="1"/>
      <name val="Yu Gothic UI"/>
      <family val="3"/>
      <charset val="128"/>
    </font>
    <font>
      <sz val="11"/>
      <color theme="0" tint="-0.34998626667073579"/>
      <name val="Yu Gothic UI"/>
      <family val="3"/>
      <charset val="128"/>
    </font>
    <font>
      <sz val="16"/>
      <color theme="1"/>
      <name val="Yu Gothic UI"/>
      <family val="3"/>
      <charset val="128"/>
    </font>
    <font>
      <sz val="11"/>
      <color theme="1"/>
      <name val="Aptos Narrow"/>
      <family val="2"/>
      <charset val="128"/>
      <scheme val="minor"/>
    </font>
    <font>
      <b/>
      <sz val="16"/>
      <color theme="1"/>
      <name val="Yu Gothic UI"/>
      <family val="3"/>
      <charset val="128"/>
    </font>
    <font>
      <b/>
      <sz val="11"/>
      <color theme="1"/>
      <name val="Yu Gothic UI"/>
      <family val="3"/>
      <charset val="128"/>
    </font>
    <font>
      <b/>
      <u/>
      <sz val="11"/>
      <color theme="1"/>
      <name val="Yu Gothic UI"/>
      <family val="3"/>
      <charset val="128"/>
    </font>
    <font>
      <sz val="8"/>
      <name val="Aptos Narrow"/>
      <family val="2"/>
      <charset val="128"/>
      <scheme val="minor"/>
    </font>
    <font>
      <sz val="11"/>
      <color theme="0" tint="-0.14999847407452621"/>
      <name val="Aptos Narrow"/>
      <family val="2"/>
      <charset val="128"/>
      <scheme val="minor"/>
    </font>
    <font>
      <sz val="11"/>
      <color rgb="FF9C5700"/>
      <name val="Aptos Narrow"/>
      <family val="2"/>
      <charset val="128"/>
      <scheme val="minor"/>
    </font>
    <font>
      <sz val="10"/>
      <color theme="1"/>
      <name val="Yu Gothic UI"/>
      <family val="3"/>
      <charset val="128"/>
    </font>
    <font>
      <sz val="8"/>
      <color theme="0" tint="-0.249977111117893"/>
      <name val="Yu Gothic UI"/>
      <family val="3"/>
      <charset val="128"/>
    </font>
    <font>
      <sz val="12"/>
      <color theme="1"/>
      <name val="Yu Gothic UI"/>
      <family val="3"/>
      <charset val="128"/>
    </font>
    <font>
      <sz val="10"/>
      <color theme="1"/>
      <name val="Aptos Narrow"/>
      <family val="2"/>
      <scheme val="minor"/>
    </font>
    <font>
      <sz val="10"/>
      <color theme="0"/>
      <name val="Yu Gothic UI"/>
      <family val="3"/>
      <charset val="128"/>
    </font>
    <font>
      <sz val="10"/>
      <color rgb="FFFF0000"/>
      <name val="Yu Gothic UI"/>
      <family val="3"/>
      <charset val="128"/>
    </font>
    <font>
      <sz val="11"/>
      <color theme="1"/>
      <name val="ＭＳ Ｐゴシック"/>
      <family val="2"/>
      <charset val="128"/>
    </font>
    <font>
      <sz val="10"/>
      <color rgb="FF0070C0"/>
      <name val="Yu Gothic UI"/>
      <family val="3"/>
      <charset val="128"/>
    </font>
    <font>
      <b/>
      <sz val="9"/>
      <color indexed="81"/>
      <name val="MS P ゴシック"/>
      <family val="3"/>
      <charset val="128"/>
    </font>
    <font>
      <sz val="11"/>
      <color theme="1" tint="0.499984740745262"/>
      <name val="Yu Gothic UI"/>
      <family val="3"/>
      <charset val="128"/>
    </font>
    <font>
      <sz val="8"/>
      <color theme="1" tint="0.499984740745262"/>
      <name val="Segoe UI"/>
      <family val="2"/>
    </font>
    <font>
      <sz val="11"/>
      <color theme="0"/>
      <name val="Aptos Narrow"/>
      <family val="2"/>
      <charset val="128"/>
      <scheme val="minor"/>
    </font>
    <font>
      <sz val="11"/>
      <color theme="0"/>
      <name val="Yu Gothic UI"/>
      <family val="3"/>
      <charset val="128"/>
    </font>
  </fonts>
  <fills count="18">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C000"/>
        <bgColor indexed="64"/>
      </patternFill>
    </fill>
    <fill>
      <patternFill patternType="solid">
        <fgColor theme="3" tint="0.59996337778862885"/>
        <bgColor indexed="64"/>
      </patternFill>
    </fill>
    <fill>
      <patternFill patternType="solid">
        <fgColor theme="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7"/>
        <bgColor indexed="64"/>
      </patternFill>
    </fill>
    <fill>
      <patternFill patternType="solid">
        <fgColor theme="7" tint="-0.249977111117893"/>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auto="1"/>
      </right>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top style="thin">
        <color auto="1"/>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bottom style="double">
        <color indexed="64"/>
      </bottom>
      <diagonal/>
    </border>
    <border>
      <left/>
      <right style="thin">
        <color auto="1"/>
      </right>
      <top/>
      <bottom style="double">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2">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xf numFmtId="41" fontId="1" fillId="0" borderId="0" applyFont="0" applyFill="0" applyBorder="0" applyAlignment="0" applyProtection="0"/>
    <xf numFmtId="9" fontId="1" fillId="0" borderId="0" applyFont="0" applyFill="0" applyBorder="0" applyAlignment="0" applyProtection="0"/>
    <xf numFmtId="41" fontId="17" fillId="0" borderId="0" applyFont="0" applyFill="0" applyBorder="0" applyAlignment="0" applyProtection="0"/>
    <xf numFmtId="9" fontId="17" fillId="0" borderId="0" applyFont="0" applyFill="0" applyBorder="0" applyAlignment="0" applyProtection="0"/>
    <xf numFmtId="0" fontId="27" fillId="0" borderId="0"/>
    <xf numFmtId="38" fontId="30" fillId="0" borderId="0" applyFont="0" applyFill="0" applyBorder="0" applyAlignment="0" applyProtection="0">
      <alignment vertical="center"/>
    </xf>
    <xf numFmtId="9" fontId="17" fillId="0" borderId="0" applyFont="0" applyFill="0" applyBorder="0" applyAlignment="0" applyProtection="0">
      <alignment vertical="center"/>
    </xf>
  </cellStyleXfs>
  <cellXfs count="459">
    <xf numFmtId="0" fontId="0" fillId="0" borderId="0" xfId="0"/>
    <xf numFmtId="0" fontId="2" fillId="0" borderId="0" xfId="1" applyFont="1">
      <alignment vertical="center"/>
    </xf>
    <xf numFmtId="9" fontId="2" fillId="2" borderId="1" xfId="1" applyNumberFormat="1" applyFont="1" applyFill="1" applyBorder="1">
      <alignment vertical="center"/>
    </xf>
    <xf numFmtId="3" fontId="2" fillId="0" borderId="0" xfId="1" applyNumberFormat="1" applyFont="1" applyAlignment="1">
      <alignment vertical="center" shrinkToFit="1"/>
    </xf>
    <xf numFmtId="3" fontId="2" fillId="0" borderId="0" xfId="1" applyNumberFormat="1" applyFont="1">
      <alignment vertical="center"/>
    </xf>
    <xf numFmtId="164" fontId="2" fillId="0" borderId="0" xfId="1" applyNumberFormat="1" applyFont="1">
      <alignment vertical="center"/>
    </xf>
    <xf numFmtId="38" fontId="2" fillId="0" borderId="0" xfId="2" applyFont="1" applyBorder="1" applyAlignment="1">
      <alignment vertical="center" shrinkToFit="1"/>
    </xf>
    <xf numFmtId="2" fontId="2" fillId="0" borderId="1" xfId="3" applyNumberFormat="1" applyFont="1" applyBorder="1"/>
    <xf numFmtId="2" fontId="2" fillId="0" borderId="2" xfId="3" applyNumberFormat="1" applyFont="1" applyBorder="1"/>
    <xf numFmtId="0" fontId="2" fillId="0" borderId="2" xfId="1" applyFont="1" applyBorder="1">
      <alignment vertical="center"/>
    </xf>
    <xf numFmtId="165" fontId="2" fillId="0" borderId="0" xfId="2" applyNumberFormat="1" applyFont="1" applyBorder="1" applyAlignment="1">
      <alignment vertical="center" shrinkToFit="1"/>
    </xf>
    <xf numFmtId="0" fontId="2" fillId="3" borderId="0" xfId="1" applyFont="1" applyFill="1">
      <alignment vertical="center"/>
    </xf>
    <xf numFmtId="0" fontId="2" fillId="3" borderId="3" xfId="1" applyFont="1" applyFill="1" applyBorder="1">
      <alignment vertical="center"/>
    </xf>
    <xf numFmtId="0" fontId="2" fillId="3" borderId="4" xfId="1" applyFont="1" applyFill="1" applyBorder="1">
      <alignment vertical="center"/>
    </xf>
    <xf numFmtId="0" fontId="2" fillId="3" borderId="5" xfId="1" applyFont="1" applyFill="1" applyBorder="1">
      <alignment vertical="center"/>
    </xf>
    <xf numFmtId="0" fontId="3" fillId="3" borderId="0" xfId="1" applyFont="1" applyFill="1">
      <alignment vertical="center"/>
    </xf>
    <xf numFmtId="0" fontId="2" fillId="3" borderId="6" xfId="1" applyFont="1" applyFill="1" applyBorder="1">
      <alignment vertical="center"/>
    </xf>
    <xf numFmtId="0" fontId="2" fillId="3" borderId="7" xfId="1" applyFont="1" applyFill="1" applyBorder="1">
      <alignment vertical="center"/>
    </xf>
    <xf numFmtId="0" fontId="2" fillId="3" borderId="8" xfId="1" applyFont="1" applyFill="1" applyBorder="1">
      <alignment vertical="center"/>
    </xf>
    <xf numFmtId="0" fontId="2" fillId="3" borderId="3" xfId="1" applyFont="1" applyFill="1" applyBorder="1" applyAlignment="1">
      <alignment horizontal="centerContinuous" vertical="center" shrinkToFit="1"/>
    </xf>
    <xf numFmtId="0" fontId="2" fillId="3" borderId="4" xfId="1" applyFont="1" applyFill="1" applyBorder="1" applyAlignment="1">
      <alignment horizontal="centerContinuous" vertical="center" shrinkToFit="1"/>
    </xf>
    <xf numFmtId="0" fontId="2" fillId="3" borderId="5" xfId="1" applyFont="1" applyFill="1" applyBorder="1" applyAlignment="1">
      <alignment horizontal="centerContinuous" vertical="center" shrinkToFit="1"/>
    </xf>
    <xf numFmtId="3" fontId="2" fillId="3" borderId="9" xfId="3" applyNumberFormat="1" applyFont="1" applyFill="1" applyBorder="1" applyAlignment="1">
      <alignment horizontal="center" vertical="center" shrinkToFit="1"/>
    </xf>
    <xf numFmtId="0" fontId="2" fillId="3" borderId="9" xfId="3" applyFont="1" applyFill="1" applyBorder="1" applyAlignment="1">
      <alignment horizontal="center" vertical="center" shrinkToFit="1"/>
    </xf>
    <xf numFmtId="0" fontId="2" fillId="3" borderId="10" xfId="3" applyFont="1" applyFill="1" applyBorder="1" applyAlignment="1">
      <alignment horizontal="center" vertical="center" shrinkToFit="1"/>
    </xf>
    <xf numFmtId="0" fontId="2" fillId="3" borderId="11" xfId="3" applyFont="1" applyFill="1" applyBorder="1" applyAlignment="1">
      <alignment horizontal="center" vertical="center" shrinkToFit="1"/>
    </xf>
    <xf numFmtId="0" fontId="2" fillId="3" borderId="12" xfId="3" applyFont="1" applyFill="1" applyBorder="1" applyAlignment="1">
      <alignment horizontal="center" vertical="center" shrinkToFit="1"/>
    </xf>
    <xf numFmtId="3" fontId="2" fillId="3" borderId="13" xfId="3" applyNumberFormat="1" applyFont="1" applyFill="1" applyBorder="1" applyAlignment="1">
      <alignment horizontal="center" vertical="center" shrinkToFit="1"/>
    </xf>
    <xf numFmtId="0" fontId="2" fillId="3" borderId="14" xfId="3" applyFont="1" applyFill="1" applyBorder="1" applyAlignment="1">
      <alignment horizontal="center" vertical="center" shrinkToFit="1"/>
    </xf>
    <xf numFmtId="0" fontId="2" fillId="3" borderId="13" xfId="3" applyFont="1" applyFill="1" applyBorder="1" applyAlignment="1">
      <alignment horizontal="center" vertical="center" shrinkToFit="1"/>
    </xf>
    <xf numFmtId="3" fontId="2" fillId="3" borderId="11" xfId="3" applyNumberFormat="1" applyFont="1" applyFill="1" applyBorder="1" applyAlignment="1">
      <alignment horizontal="center" vertical="center" shrinkToFit="1"/>
    </xf>
    <xf numFmtId="3" fontId="4" fillId="3" borderId="9" xfId="3" applyNumberFormat="1" applyFont="1" applyFill="1" applyBorder="1" applyAlignment="1">
      <alignment horizontal="center" vertical="center" shrinkToFit="1"/>
    </xf>
    <xf numFmtId="3" fontId="2" fillId="3" borderId="12" xfId="3" applyNumberFormat="1" applyFont="1" applyFill="1" applyBorder="1" applyAlignment="1">
      <alignment horizontal="center" vertical="center" shrinkToFit="1"/>
    </xf>
    <xf numFmtId="0" fontId="2" fillId="0" borderId="0" xfId="1" applyFont="1" applyAlignment="1">
      <alignment horizontal="center" vertical="center"/>
    </xf>
    <xf numFmtId="166" fontId="2" fillId="0" borderId="0" xfId="1" applyNumberFormat="1" applyFont="1" applyAlignment="1">
      <alignment horizontal="center" vertical="center" shrinkToFit="1"/>
    </xf>
    <xf numFmtId="3" fontId="2" fillId="0" borderId="15" xfId="3" applyNumberFormat="1" applyFont="1" applyBorder="1" applyAlignment="1">
      <alignment shrinkToFit="1"/>
    </xf>
    <xf numFmtId="0" fontId="2" fillId="0" borderId="15" xfId="3" applyFont="1" applyBorder="1" applyAlignment="1">
      <alignment shrinkToFit="1"/>
    </xf>
    <xf numFmtId="3" fontId="2" fillId="0" borderId="16" xfId="3" applyNumberFormat="1" applyFont="1" applyBorder="1" applyAlignment="1">
      <alignment shrinkToFit="1"/>
    </xf>
    <xf numFmtId="3" fontId="2" fillId="0" borderId="17" xfId="3" applyNumberFormat="1" applyFont="1" applyBorder="1" applyAlignment="1">
      <alignment shrinkToFit="1"/>
    </xf>
    <xf numFmtId="3" fontId="2" fillId="0" borderId="15" xfId="1" applyNumberFormat="1" applyFont="1" applyBorder="1" applyAlignment="1">
      <alignment shrinkToFit="1"/>
    </xf>
    <xf numFmtId="3" fontId="2" fillId="0" borderId="18" xfId="3" applyNumberFormat="1" applyFont="1" applyBorder="1" applyAlignment="1">
      <alignment shrinkToFit="1"/>
    </xf>
    <xf numFmtId="3" fontId="2" fillId="0" borderId="19" xfId="3" applyNumberFormat="1" applyFont="1" applyBorder="1" applyAlignment="1">
      <alignment shrinkToFit="1"/>
    </xf>
    <xf numFmtId="9" fontId="2" fillId="0" borderId="17" xfId="4" applyFont="1" applyFill="1" applyBorder="1" applyAlignment="1">
      <alignment shrinkToFit="1"/>
    </xf>
    <xf numFmtId="10" fontId="2" fillId="0" borderId="20" xfId="4" applyNumberFormat="1" applyFont="1" applyFill="1" applyBorder="1" applyAlignment="1">
      <alignment shrinkToFit="1"/>
    </xf>
    <xf numFmtId="9" fontId="3" fillId="0" borderId="15" xfId="4" applyFont="1" applyFill="1" applyBorder="1" applyAlignment="1">
      <alignment vertical="center" shrinkToFit="1"/>
    </xf>
    <xf numFmtId="167" fontId="2" fillId="0" borderId="16" xfId="5" applyNumberFormat="1" applyFont="1" applyFill="1" applyBorder="1" applyAlignment="1">
      <alignment shrinkToFit="1"/>
    </xf>
    <xf numFmtId="168" fontId="2" fillId="0" borderId="17" xfId="2" applyNumberFormat="1" applyFont="1" applyFill="1" applyBorder="1" applyAlignment="1">
      <alignment shrinkToFit="1"/>
    </xf>
    <xf numFmtId="168" fontId="2" fillId="0" borderId="15" xfId="2" applyNumberFormat="1" applyFont="1" applyFill="1" applyBorder="1" applyAlignment="1">
      <alignment shrinkToFit="1"/>
    </xf>
    <xf numFmtId="168" fontId="2" fillId="0" borderId="18" xfId="2" applyNumberFormat="1" applyFont="1" applyFill="1" applyBorder="1" applyAlignment="1">
      <alignment shrinkToFit="1"/>
    </xf>
    <xf numFmtId="2" fontId="2" fillId="0" borderId="19" xfId="3" applyNumberFormat="1" applyFont="1" applyBorder="1" applyAlignment="1">
      <alignment shrinkToFit="1"/>
    </xf>
    <xf numFmtId="169" fontId="2" fillId="0" borderId="21" xfId="3" applyNumberFormat="1" applyFont="1" applyBorder="1" applyAlignment="1">
      <alignment shrinkToFit="1"/>
    </xf>
    <xf numFmtId="169" fontId="2" fillId="0" borderId="15" xfId="3" applyNumberFormat="1" applyFont="1" applyBorder="1" applyAlignment="1">
      <alignment shrinkToFit="1"/>
    </xf>
    <xf numFmtId="169" fontId="2" fillId="0" borderId="18" xfId="3" applyNumberFormat="1" applyFont="1" applyBorder="1" applyAlignment="1">
      <alignment shrinkToFit="1"/>
    </xf>
    <xf numFmtId="166" fontId="2" fillId="0" borderId="17" xfId="4" applyNumberFormat="1" applyFont="1" applyFill="1" applyBorder="1" applyAlignment="1">
      <alignment vertical="center" shrinkToFit="1"/>
    </xf>
    <xf numFmtId="166" fontId="2" fillId="0" borderId="15" xfId="4" applyNumberFormat="1" applyFont="1" applyFill="1" applyBorder="1" applyAlignment="1">
      <alignment vertical="center" shrinkToFit="1"/>
    </xf>
    <xf numFmtId="166" fontId="4" fillId="0" borderId="15" xfId="4" applyNumberFormat="1" applyFont="1" applyFill="1" applyBorder="1" applyAlignment="1">
      <alignment vertical="center" shrinkToFit="1"/>
    </xf>
    <xf numFmtId="166" fontId="2" fillId="0" borderId="18" xfId="4" applyNumberFormat="1" applyFont="1" applyFill="1" applyBorder="1" applyAlignment="1">
      <alignment vertical="center" shrinkToFit="1"/>
    </xf>
    <xf numFmtId="3" fontId="2" fillId="0" borderId="22" xfId="3" applyNumberFormat="1" applyFont="1" applyBorder="1" applyAlignment="1">
      <alignment shrinkToFit="1"/>
    </xf>
    <xf numFmtId="0" fontId="2" fillId="0" borderId="0" xfId="1" applyFont="1" applyAlignment="1">
      <alignment vertical="center" shrinkToFit="1"/>
    </xf>
    <xf numFmtId="166" fontId="2" fillId="0" borderId="0" xfId="1" applyNumberFormat="1" applyFont="1" applyAlignment="1">
      <alignment vertical="center" shrinkToFit="1"/>
    </xf>
    <xf numFmtId="3" fontId="2" fillId="0" borderId="1" xfId="3" applyNumberFormat="1" applyFont="1" applyBorder="1" applyAlignment="1">
      <alignment shrinkToFit="1"/>
    </xf>
    <xf numFmtId="170" fontId="2" fillId="0" borderId="1" xfId="3" applyNumberFormat="1" applyFont="1" applyBorder="1" applyAlignment="1">
      <alignment shrinkToFit="1"/>
    </xf>
    <xf numFmtId="0" fontId="2" fillId="0" borderId="1" xfId="3" applyFont="1" applyBorder="1" applyAlignment="1">
      <alignment shrinkToFit="1"/>
    </xf>
    <xf numFmtId="3" fontId="2" fillId="0" borderId="23" xfId="3" applyNumberFormat="1" applyFont="1" applyBorder="1" applyAlignment="1">
      <alignment shrinkToFit="1"/>
    </xf>
    <xf numFmtId="3" fontId="2" fillId="0" borderId="24" xfId="3" applyNumberFormat="1" applyFont="1" applyBorder="1" applyAlignment="1">
      <alignment shrinkToFit="1"/>
    </xf>
    <xf numFmtId="3" fontId="2" fillId="0" borderId="1" xfId="1" applyNumberFormat="1" applyFont="1" applyBorder="1" applyAlignment="1">
      <alignment shrinkToFit="1"/>
    </xf>
    <xf numFmtId="3" fontId="2" fillId="0" borderId="25" xfId="3" applyNumberFormat="1" applyFont="1" applyBorder="1" applyAlignment="1">
      <alignment shrinkToFit="1"/>
    </xf>
    <xf numFmtId="3" fontId="2" fillId="0" borderId="26" xfId="3" applyNumberFormat="1" applyFont="1" applyBorder="1" applyAlignment="1">
      <alignment shrinkToFit="1"/>
    </xf>
    <xf numFmtId="9" fontId="2" fillId="0" borderId="24" xfId="4" applyFont="1" applyFill="1" applyBorder="1" applyAlignment="1">
      <alignment shrinkToFit="1"/>
    </xf>
    <xf numFmtId="10" fontId="2" fillId="0" borderId="22" xfId="4" applyNumberFormat="1" applyFont="1" applyFill="1" applyBorder="1" applyAlignment="1">
      <alignment shrinkToFit="1"/>
    </xf>
    <xf numFmtId="9" fontId="3" fillId="0" borderId="1" xfId="4" applyFont="1" applyFill="1" applyBorder="1" applyAlignment="1">
      <alignment vertical="center" shrinkToFit="1"/>
    </xf>
    <xf numFmtId="167" fontId="2" fillId="0" borderId="23" xfId="5" applyNumberFormat="1" applyFont="1" applyFill="1" applyBorder="1" applyAlignment="1">
      <alignment shrinkToFit="1"/>
    </xf>
    <xf numFmtId="168" fontId="2" fillId="0" borderId="24" xfId="2" applyNumberFormat="1" applyFont="1" applyFill="1" applyBorder="1" applyAlignment="1">
      <alignment shrinkToFit="1"/>
    </xf>
    <xf numFmtId="168" fontId="2" fillId="0" borderId="1" xfId="2" applyNumberFormat="1" applyFont="1" applyFill="1" applyBorder="1" applyAlignment="1">
      <alignment shrinkToFit="1"/>
    </xf>
    <xf numFmtId="168" fontId="2" fillId="0" borderId="25" xfId="2" applyNumberFormat="1" applyFont="1" applyFill="1" applyBorder="1" applyAlignment="1">
      <alignment shrinkToFit="1"/>
    </xf>
    <xf numFmtId="2" fontId="2" fillId="0" borderId="26" xfId="3" applyNumberFormat="1" applyFont="1" applyBorder="1" applyAlignment="1">
      <alignment shrinkToFit="1"/>
    </xf>
    <xf numFmtId="169" fontId="2" fillId="0" borderId="24" xfId="3" applyNumberFormat="1" applyFont="1" applyBorder="1" applyAlignment="1">
      <alignment shrinkToFit="1"/>
    </xf>
    <xf numFmtId="169" fontId="2" fillId="0" borderId="1" xfId="3" applyNumberFormat="1" applyFont="1" applyBorder="1" applyAlignment="1">
      <alignment shrinkToFit="1"/>
    </xf>
    <xf numFmtId="169" fontId="2" fillId="0" borderId="25" xfId="3" applyNumberFormat="1" applyFont="1" applyBorder="1" applyAlignment="1">
      <alignment shrinkToFit="1"/>
    </xf>
    <xf numFmtId="166" fontId="2" fillId="0" borderId="24" xfId="4" applyNumberFormat="1" applyFont="1" applyFill="1" applyBorder="1" applyAlignment="1">
      <alignment vertical="center" shrinkToFit="1"/>
    </xf>
    <xf numFmtId="166" fontId="2" fillId="0" borderId="1" xfId="4" applyNumberFormat="1" applyFont="1" applyFill="1" applyBorder="1" applyAlignment="1">
      <alignment vertical="center" shrinkToFit="1"/>
    </xf>
    <xf numFmtId="166" fontId="4" fillId="0" borderId="1" xfId="4" applyNumberFormat="1" applyFont="1" applyFill="1" applyBorder="1" applyAlignment="1">
      <alignment vertical="center" shrinkToFit="1"/>
    </xf>
    <xf numFmtId="166" fontId="2" fillId="0" borderId="25" xfId="4" applyNumberFormat="1" applyFont="1" applyFill="1" applyBorder="1" applyAlignment="1">
      <alignment vertical="center" shrinkToFit="1"/>
    </xf>
    <xf numFmtId="171" fontId="2" fillId="0" borderId="0" xfId="4" applyNumberFormat="1" applyFont="1" applyBorder="1" applyAlignment="1">
      <alignment vertical="center" shrinkToFit="1"/>
    </xf>
    <xf numFmtId="3" fontId="4" fillId="0" borderId="1" xfId="3" applyNumberFormat="1" applyFont="1" applyBorder="1" applyAlignment="1">
      <alignment shrinkToFit="1"/>
    </xf>
    <xf numFmtId="170" fontId="4" fillId="0" borderId="1" xfId="3" applyNumberFormat="1" applyFont="1" applyBorder="1" applyAlignment="1">
      <alignment shrinkToFit="1"/>
    </xf>
    <xf numFmtId="0" fontId="4" fillId="0" borderId="1" xfId="3" applyFont="1" applyBorder="1" applyAlignment="1">
      <alignment shrinkToFit="1"/>
    </xf>
    <xf numFmtId="3" fontId="4" fillId="0" borderId="23" xfId="3" applyNumberFormat="1" applyFont="1" applyBorder="1" applyAlignment="1">
      <alignment shrinkToFit="1"/>
    </xf>
    <xf numFmtId="3" fontId="4" fillId="0" borderId="24" xfId="3" applyNumberFormat="1" applyFont="1" applyBorder="1" applyAlignment="1">
      <alignment shrinkToFit="1"/>
    </xf>
    <xf numFmtId="3" fontId="4" fillId="0" borderId="1" xfId="1" applyNumberFormat="1" applyFont="1" applyBorder="1" applyAlignment="1">
      <alignment shrinkToFit="1"/>
    </xf>
    <xf numFmtId="3" fontId="4" fillId="0" borderId="25" xfId="3" applyNumberFormat="1" applyFont="1" applyBorder="1" applyAlignment="1">
      <alignment shrinkToFit="1"/>
    </xf>
    <xf numFmtId="3" fontId="4" fillId="0" borderId="26" xfId="3" applyNumberFormat="1" applyFont="1" applyBorder="1" applyAlignment="1">
      <alignment shrinkToFit="1"/>
    </xf>
    <xf numFmtId="9" fontId="4" fillId="0" borderId="24" xfId="4" applyFont="1" applyFill="1" applyBorder="1" applyAlignment="1">
      <alignment shrinkToFit="1"/>
    </xf>
    <xf numFmtId="10" fontId="4" fillId="0" borderId="22" xfId="4" applyNumberFormat="1" applyFont="1" applyFill="1" applyBorder="1" applyAlignment="1">
      <alignment shrinkToFit="1"/>
    </xf>
    <xf numFmtId="9" fontId="4" fillId="0" borderId="1" xfId="6" applyFont="1" applyFill="1" applyBorder="1" applyAlignment="1">
      <alignment shrinkToFit="1"/>
    </xf>
    <xf numFmtId="167" fontId="4" fillId="0" borderId="23" xfId="5" applyNumberFormat="1" applyFont="1" applyFill="1" applyBorder="1" applyAlignment="1">
      <alignment shrinkToFit="1"/>
    </xf>
    <xf numFmtId="168" fontId="4" fillId="0" borderId="24" xfId="2" applyNumberFormat="1" applyFont="1" applyFill="1" applyBorder="1" applyAlignment="1">
      <alignment shrinkToFit="1"/>
    </xf>
    <xf numFmtId="168" fontId="4" fillId="0" borderId="1" xfId="2" applyNumberFormat="1" applyFont="1" applyFill="1" applyBorder="1" applyAlignment="1">
      <alignment shrinkToFit="1"/>
    </xf>
    <xf numFmtId="168" fontId="4" fillId="0" borderId="25" xfId="2" applyNumberFormat="1" applyFont="1" applyFill="1" applyBorder="1" applyAlignment="1">
      <alignment shrinkToFit="1"/>
    </xf>
    <xf numFmtId="2" fontId="4" fillId="0" borderId="26" xfId="3" applyNumberFormat="1" applyFont="1" applyBorder="1" applyAlignment="1">
      <alignment shrinkToFit="1"/>
    </xf>
    <xf numFmtId="169" fontId="4" fillId="0" borderId="1" xfId="3" applyNumberFormat="1" applyFont="1" applyBorder="1" applyAlignment="1">
      <alignment shrinkToFit="1"/>
    </xf>
    <xf numFmtId="169" fontId="4" fillId="0" borderId="25" xfId="3" applyNumberFormat="1" applyFont="1" applyBorder="1" applyAlignment="1">
      <alignment shrinkToFit="1"/>
    </xf>
    <xf numFmtId="166" fontId="4" fillId="0" borderId="24" xfId="4" applyNumberFormat="1" applyFont="1" applyFill="1" applyBorder="1" applyAlignment="1">
      <alignment vertical="center" shrinkToFit="1"/>
    </xf>
    <xf numFmtId="166" fontId="4" fillId="0" borderId="25" xfId="4" applyNumberFormat="1" applyFont="1" applyFill="1" applyBorder="1" applyAlignment="1">
      <alignment vertical="center" shrinkToFit="1"/>
    </xf>
    <xf numFmtId="3" fontId="4" fillId="0" borderId="22" xfId="3" applyNumberFormat="1" applyFont="1" applyBorder="1" applyAlignment="1">
      <alignment shrinkToFit="1"/>
    </xf>
    <xf numFmtId="9" fontId="5" fillId="0" borderId="1" xfId="6" applyFont="1" applyFill="1" applyBorder="1" applyAlignment="1">
      <alignment shrinkToFit="1"/>
    </xf>
    <xf numFmtId="3" fontId="2" fillId="0" borderId="27" xfId="3" applyNumberFormat="1" applyFont="1" applyBorder="1" applyAlignment="1">
      <alignment shrinkToFit="1"/>
    </xf>
    <xf numFmtId="3" fontId="4" fillId="0" borderId="28" xfId="3" applyNumberFormat="1" applyFont="1" applyBorder="1" applyAlignment="1">
      <alignment shrinkToFit="1"/>
    </xf>
    <xf numFmtId="3" fontId="2" fillId="0" borderId="29" xfId="3" applyNumberFormat="1" applyFont="1" applyBorder="1" applyAlignment="1">
      <alignment shrinkToFit="1"/>
    </xf>
    <xf numFmtId="3" fontId="2" fillId="0" borderId="28" xfId="3" applyNumberFormat="1" applyFont="1" applyBorder="1" applyAlignment="1">
      <alignment shrinkToFit="1"/>
    </xf>
    <xf numFmtId="3" fontId="2" fillId="0" borderId="30" xfId="3" applyNumberFormat="1" applyFont="1" applyBorder="1" applyAlignment="1">
      <alignment shrinkToFit="1"/>
    </xf>
    <xf numFmtId="9" fontId="2" fillId="0" borderId="27" xfId="4" applyFont="1" applyFill="1" applyBorder="1" applyAlignment="1">
      <alignment shrinkToFit="1"/>
    </xf>
    <xf numFmtId="9" fontId="2" fillId="0" borderId="1" xfId="4" applyFont="1" applyFill="1" applyBorder="1" applyAlignment="1">
      <alignment shrinkToFit="1"/>
    </xf>
    <xf numFmtId="168" fontId="2" fillId="0" borderId="27" xfId="2" applyNumberFormat="1" applyFont="1" applyFill="1" applyBorder="1" applyAlignment="1">
      <alignment shrinkToFit="1"/>
    </xf>
    <xf numFmtId="168" fontId="2" fillId="0" borderId="28" xfId="2" applyNumberFormat="1" applyFont="1" applyFill="1" applyBorder="1" applyAlignment="1">
      <alignment shrinkToFit="1"/>
    </xf>
    <xf numFmtId="168" fontId="2" fillId="0" borderId="29" xfId="2" applyNumberFormat="1" applyFont="1" applyFill="1" applyBorder="1" applyAlignment="1">
      <alignment shrinkToFit="1"/>
    </xf>
    <xf numFmtId="169" fontId="2" fillId="0" borderId="27" xfId="3" applyNumberFormat="1" applyFont="1" applyBorder="1" applyAlignment="1">
      <alignment shrinkToFit="1"/>
    </xf>
    <xf numFmtId="169" fontId="2" fillId="0" borderId="28" xfId="3" applyNumberFormat="1" applyFont="1" applyBorder="1" applyAlignment="1">
      <alignment shrinkToFit="1"/>
    </xf>
    <xf numFmtId="169" fontId="2" fillId="0" borderId="29" xfId="3" applyNumberFormat="1" applyFont="1" applyBorder="1" applyAlignment="1">
      <alignment shrinkToFit="1"/>
    </xf>
    <xf numFmtId="166" fontId="2" fillId="0" borderId="27" xfId="4" applyNumberFormat="1" applyFont="1" applyFill="1" applyBorder="1" applyAlignment="1">
      <alignment shrinkToFit="1"/>
    </xf>
    <xf numFmtId="166" fontId="2" fillId="0" borderId="28" xfId="4" applyNumberFormat="1" applyFont="1" applyFill="1" applyBorder="1" applyAlignment="1">
      <alignment shrinkToFit="1"/>
    </xf>
    <xf numFmtId="166" fontId="4" fillId="0" borderId="28" xfId="4" applyNumberFormat="1" applyFont="1" applyFill="1" applyBorder="1" applyAlignment="1">
      <alignment vertical="center" shrinkToFit="1"/>
    </xf>
    <xf numFmtId="166" fontId="2" fillId="0" borderId="28" xfId="4" applyNumberFormat="1" applyFont="1" applyFill="1" applyBorder="1" applyAlignment="1">
      <alignment vertical="center" shrinkToFit="1"/>
    </xf>
    <xf numFmtId="166" fontId="2" fillId="0" borderId="29" xfId="4" applyNumberFormat="1" applyFont="1" applyFill="1" applyBorder="1" applyAlignment="1">
      <alignment shrinkToFit="1"/>
    </xf>
    <xf numFmtId="169" fontId="2" fillId="0" borderId="0" xfId="1" applyNumberFormat="1" applyFont="1">
      <alignment vertical="center"/>
    </xf>
    <xf numFmtId="38" fontId="2" fillId="0" borderId="0" xfId="2" applyFont="1" applyFill="1" applyBorder="1" applyAlignment="1">
      <alignment vertical="center" shrinkToFit="1"/>
    </xf>
    <xf numFmtId="0" fontId="2" fillId="4" borderId="0" xfId="1" applyFont="1" applyFill="1">
      <alignment vertical="center"/>
    </xf>
    <xf numFmtId="0" fontId="2" fillId="4" borderId="31" xfId="1" applyFont="1" applyFill="1" applyBorder="1">
      <alignment vertical="center"/>
    </xf>
    <xf numFmtId="0" fontId="2" fillId="4" borderId="8" xfId="1" applyFont="1" applyFill="1" applyBorder="1">
      <alignment vertical="center"/>
    </xf>
    <xf numFmtId="0" fontId="2" fillId="4" borderId="32" xfId="1" applyFont="1" applyFill="1" applyBorder="1">
      <alignment vertical="center"/>
    </xf>
    <xf numFmtId="0" fontId="2" fillId="4" borderId="3" xfId="1" applyFont="1" applyFill="1" applyBorder="1">
      <alignment vertical="center"/>
    </xf>
    <xf numFmtId="0" fontId="2" fillId="4" borderId="4" xfId="1" applyFont="1" applyFill="1" applyBorder="1">
      <alignment vertical="center"/>
    </xf>
    <xf numFmtId="0" fontId="2" fillId="4" borderId="5" xfId="1" applyFont="1" applyFill="1" applyBorder="1">
      <alignment vertical="center"/>
    </xf>
    <xf numFmtId="0" fontId="3" fillId="4" borderId="33" xfId="1" applyFont="1" applyFill="1" applyBorder="1">
      <alignment vertical="center"/>
    </xf>
    <xf numFmtId="0" fontId="2" fillId="4" borderId="31" xfId="1" applyFont="1" applyFill="1" applyBorder="1" applyAlignment="1">
      <alignment horizontal="centerContinuous" vertical="center" shrinkToFit="1"/>
    </xf>
    <xf numFmtId="0" fontId="2" fillId="4" borderId="8" xfId="1" applyFont="1" applyFill="1" applyBorder="1" applyAlignment="1">
      <alignment horizontal="centerContinuous" vertical="center" shrinkToFit="1"/>
    </xf>
    <xf numFmtId="0" fontId="2" fillId="4" borderId="8" xfId="1" applyFont="1" applyFill="1" applyBorder="1" applyAlignment="1">
      <alignment horizontal="centerContinuous" vertical="center"/>
    </xf>
    <xf numFmtId="0" fontId="2" fillId="4" borderId="32" xfId="1" applyFont="1" applyFill="1" applyBorder="1" applyAlignment="1">
      <alignment horizontal="centerContinuous" vertical="center"/>
    </xf>
    <xf numFmtId="0" fontId="2" fillId="4" borderId="9" xfId="3" applyFont="1" applyFill="1" applyBorder="1" applyAlignment="1">
      <alignment horizontal="center" vertical="center" shrinkToFit="1"/>
    </xf>
    <xf numFmtId="3" fontId="2" fillId="4" borderId="9" xfId="3" applyNumberFormat="1" applyFont="1" applyFill="1" applyBorder="1" applyAlignment="1">
      <alignment horizontal="center" vertical="center" shrinkToFit="1"/>
    </xf>
    <xf numFmtId="0" fontId="2" fillId="4" borderId="10" xfId="3" applyFont="1" applyFill="1" applyBorder="1" applyAlignment="1">
      <alignment horizontal="center" vertical="center" shrinkToFit="1"/>
    </xf>
    <xf numFmtId="0" fontId="2" fillId="4" borderId="34" xfId="3" applyFont="1" applyFill="1" applyBorder="1" applyAlignment="1">
      <alignment horizontal="center" vertical="center" shrinkToFit="1"/>
    </xf>
    <xf numFmtId="0" fontId="2" fillId="4" borderId="35" xfId="3" applyFont="1" applyFill="1" applyBorder="1" applyAlignment="1">
      <alignment horizontal="center" vertical="center" shrinkToFit="1"/>
    </xf>
    <xf numFmtId="0" fontId="2" fillId="4" borderId="36" xfId="3" applyFont="1" applyFill="1" applyBorder="1" applyAlignment="1">
      <alignment horizontal="center" vertical="center" shrinkToFit="1"/>
    </xf>
    <xf numFmtId="3" fontId="2" fillId="4" borderId="13" xfId="3" applyNumberFormat="1" applyFont="1" applyFill="1" applyBorder="1" applyAlignment="1">
      <alignment horizontal="center" vertical="center" shrinkToFit="1"/>
    </xf>
    <xf numFmtId="0" fontId="2" fillId="4" borderId="37" xfId="3" applyFont="1" applyFill="1" applyBorder="1" applyAlignment="1">
      <alignment horizontal="center" vertical="center" shrinkToFit="1"/>
    </xf>
    <xf numFmtId="0" fontId="2" fillId="4" borderId="11" xfId="3" applyFont="1" applyFill="1" applyBorder="1" applyAlignment="1">
      <alignment horizontal="center" vertical="center" shrinkToFit="1"/>
    </xf>
    <xf numFmtId="0" fontId="2" fillId="4" borderId="12" xfId="3" applyFont="1" applyFill="1" applyBorder="1" applyAlignment="1">
      <alignment horizontal="center" vertical="center" shrinkToFit="1"/>
    </xf>
    <xf numFmtId="0" fontId="2" fillId="4" borderId="14" xfId="3" applyFont="1" applyFill="1" applyBorder="1" applyAlignment="1">
      <alignment horizontal="center" vertical="center" shrinkToFit="1"/>
    </xf>
    <xf numFmtId="0" fontId="2" fillId="4" borderId="13" xfId="3" applyFont="1" applyFill="1" applyBorder="1" applyAlignment="1">
      <alignment horizontal="center" vertical="center" shrinkToFit="1"/>
    </xf>
    <xf numFmtId="3" fontId="2" fillId="4" borderId="38" xfId="3" applyNumberFormat="1" applyFont="1" applyFill="1" applyBorder="1" applyAlignment="1">
      <alignment horizontal="center" vertical="center" shrinkToFit="1"/>
    </xf>
    <xf numFmtId="3" fontId="2" fillId="4" borderId="39" xfId="3" applyNumberFormat="1" applyFont="1" applyFill="1" applyBorder="1" applyAlignment="1">
      <alignment horizontal="center" vertical="center" shrinkToFit="1"/>
    </xf>
    <xf numFmtId="3" fontId="4" fillId="4" borderId="39" xfId="3" applyNumberFormat="1" applyFont="1" applyFill="1" applyBorder="1" applyAlignment="1">
      <alignment horizontal="center" vertical="center" shrinkToFit="1"/>
    </xf>
    <xf numFmtId="3" fontId="4" fillId="4" borderId="40" xfId="3" applyNumberFormat="1" applyFont="1" applyFill="1" applyBorder="1" applyAlignment="1">
      <alignment horizontal="center" vertical="center" shrinkToFit="1"/>
    </xf>
    <xf numFmtId="0" fontId="2" fillId="2" borderId="15" xfId="3" applyFont="1" applyFill="1" applyBorder="1" applyAlignment="1">
      <alignment shrinkToFit="1"/>
    </xf>
    <xf numFmtId="9" fontId="2" fillId="0" borderId="17" xfId="4" applyFont="1" applyBorder="1" applyAlignment="1">
      <alignment shrinkToFit="1"/>
    </xf>
    <xf numFmtId="10" fontId="2" fillId="0" borderId="20" xfId="4" applyNumberFormat="1" applyFont="1" applyBorder="1" applyAlignment="1">
      <alignment shrinkToFit="1"/>
    </xf>
    <xf numFmtId="10" fontId="3" fillId="0" borderId="15" xfId="4" applyNumberFormat="1" applyFont="1" applyBorder="1" applyAlignment="1">
      <alignment vertical="center" shrinkToFit="1"/>
    </xf>
    <xf numFmtId="167" fontId="2" fillId="0" borderId="16" xfId="5" applyNumberFormat="1" applyFont="1" applyBorder="1" applyAlignment="1">
      <alignment shrinkToFit="1"/>
    </xf>
    <xf numFmtId="172" fontId="2" fillId="0" borderId="17" xfId="5" applyNumberFormat="1" applyFont="1" applyFill="1" applyBorder="1" applyAlignment="1">
      <alignment shrinkToFit="1"/>
    </xf>
    <xf numFmtId="172" fontId="2" fillId="0" borderId="15" xfId="3" applyNumberFormat="1" applyFont="1" applyBorder="1" applyAlignment="1">
      <alignment shrinkToFit="1"/>
    </xf>
    <xf numFmtId="172" fontId="2" fillId="0" borderId="18" xfId="3" applyNumberFormat="1" applyFont="1" applyBorder="1" applyAlignment="1">
      <alignment shrinkToFit="1"/>
    </xf>
    <xf numFmtId="168" fontId="2" fillId="0" borderId="17" xfId="2" applyNumberFormat="1" applyFont="1" applyBorder="1" applyAlignment="1">
      <alignment shrinkToFit="1"/>
    </xf>
    <xf numFmtId="168" fontId="2" fillId="0" borderId="15" xfId="2" applyNumberFormat="1" applyFont="1" applyBorder="1" applyAlignment="1">
      <alignment shrinkToFit="1"/>
    </xf>
    <xf numFmtId="168" fontId="2" fillId="0" borderId="18" xfId="2" applyNumberFormat="1" applyFont="1" applyBorder="1" applyAlignment="1">
      <alignment shrinkToFit="1"/>
    </xf>
    <xf numFmtId="166" fontId="2" fillId="0" borderId="22" xfId="4" applyNumberFormat="1" applyFont="1" applyFill="1" applyBorder="1" applyAlignment="1">
      <alignment vertical="center" shrinkToFit="1"/>
    </xf>
    <xf numFmtId="10" fontId="2" fillId="0" borderId="22" xfId="4" applyNumberFormat="1" applyFont="1" applyFill="1" applyBorder="1" applyAlignment="1">
      <alignment vertical="center" shrinkToFit="1"/>
    </xf>
    <xf numFmtId="0" fontId="2" fillId="2" borderId="1" xfId="3" applyFont="1" applyFill="1" applyBorder="1" applyAlignment="1">
      <alignment shrinkToFit="1"/>
    </xf>
    <xf numFmtId="9" fontId="2" fillId="0" borderId="24" xfId="4" applyFont="1" applyBorder="1" applyAlignment="1">
      <alignment shrinkToFit="1"/>
    </xf>
    <xf numFmtId="10" fontId="2" fillId="0" borderId="22" xfId="4" applyNumberFormat="1" applyFont="1" applyBorder="1" applyAlignment="1">
      <alignment shrinkToFit="1"/>
    </xf>
    <xf numFmtId="10" fontId="3" fillId="0" borderId="1" xfId="4" applyNumberFormat="1" applyFont="1" applyBorder="1" applyAlignment="1">
      <alignment vertical="center" shrinkToFit="1"/>
    </xf>
    <xf numFmtId="167" fontId="2" fillId="0" borderId="23" xfId="5" applyNumberFormat="1" applyFont="1" applyBorder="1" applyAlignment="1">
      <alignment shrinkToFit="1"/>
    </xf>
    <xf numFmtId="172" fontId="2" fillId="0" borderId="1" xfId="3" applyNumberFormat="1" applyFont="1" applyBorder="1" applyAlignment="1">
      <alignment shrinkToFit="1"/>
    </xf>
    <xf numFmtId="172" fontId="2" fillId="0" borderId="25" xfId="3" applyNumberFormat="1" applyFont="1" applyBorder="1" applyAlignment="1">
      <alignment shrinkToFit="1"/>
    </xf>
    <xf numFmtId="168" fontId="2" fillId="0" borderId="1" xfId="2" applyNumberFormat="1" applyFont="1" applyBorder="1" applyAlignment="1">
      <alignment shrinkToFit="1"/>
    </xf>
    <xf numFmtId="168" fontId="2" fillId="0" borderId="25" xfId="2" applyNumberFormat="1" applyFont="1" applyBorder="1" applyAlignment="1">
      <alignment shrinkToFit="1"/>
    </xf>
    <xf numFmtId="172" fontId="2" fillId="0" borderId="23" xfId="5" applyNumberFormat="1" applyFont="1" applyBorder="1" applyAlignment="1">
      <alignment shrinkToFit="1"/>
    </xf>
    <xf numFmtId="172" fontId="2" fillId="0" borderId="17" xfId="5" applyNumberFormat="1" applyFont="1" applyBorder="1" applyAlignment="1">
      <alignment shrinkToFit="1"/>
    </xf>
    <xf numFmtId="0" fontId="2" fillId="0" borderId="2" xfId="3" applyFont="1" applyBorder="1" applyAlignment="1">
      <alignment shrinkToFit="1"/>
    </xf>
    <xf numFmtId="3" fontId="2" fillId="0" borderId="2" xfId="3" applyNumberFormat="1" applyFont="1" applyBorder="1" applyAlignment="1">
      <alignment shrinkToFit="1"/>
    </xf>
    <xf numFmtId="0" fontId="2" fillId="2" borderId="2" xfId="3" applyFont="1" applyFill="1" applyBorder="1" applyAlignment="1">
      <alignment shrinkToFit="1"/>
    </xf>
    <xf numFmtId="3" fontId="2" fillId="0" borderId="41" xfId="3" applyNumberFormat="1" applyFont="1" applyBorder="1" applyAlignment="1">
      <alignment shrinkToFit="1"/>
    </xf>
    <xf numFmtId="3" fontId="2" fillId="0" borderId="42" xfId="3" applyNumberFormat="1" applyFont="1" applyBorder="1" applyAlignment="1">
      <alignment shrinkToFit="1"/>
    </xf>
    <xf numFmtId="3" fontId="2" fillId="0" borderId="2" xfId="1" applyNumberFormat="1" applyFont="1" applyBorder="1" applyAlignment="1">
      <alignment shrinkToFit="1"/>
    </xf>
    <xf numFmtId="3" fontId="2" fillId="0" borderId="43" xfId="3" applyNumberFormat="1" applyFont="1" applyBorder="1" applyAlignment="1">
      <alignment shrinkToFit="1"/>
    </xf>
    <xf numFmtId="3" fontId="2" fillId="0" borderId="44" xfId="3" applyNumberFormat="1" applyFont="1" applyBorder="1" applyAlignment="1">
      <alignment shrinkToFit="1"/>
    </xf>
    <xf numFmtId="9" fontId="2" fillId="0" borderId="42" xfId="4" applyFont="1" applyBorder="1" applyAlignment="1">
      <alignment shrinkToFit="1"/>
    </xf>
    <xf numFmtId="10" fontId="2" fillId="0" borderId="45" xfId="4" applyNumberFormat="1" applyFont="1" applyBorder="1" applyAlignment="1">
      <alignment shrinkToFit="1"/>
    </xf>
    <xf numFmtId="10" fontId="3" fillId="0" borderId="2" xfId="4" applyNumberFormat="1" applyFont="1" applyBorder="1" applyAlignment="1">
      <alignment vertical="center" shrinkToFit="1"/>
    </xf>
    <xf numFmtId="167" fontId="2" fillId="0" borderId="41" xfId="5" applyNumberFormat="1" applyFont="1" applyBorder="1" applyAlignment="1">
      <alignment shrinkToFit="1"/>
    </xf>
    <xf numFmtId="172" fontId="2" fillId="0" borderId="2" xfId="3" applyNumberFormat="1" applyFont="1" applyBorder="1" applyAlignment="1">
      <alignment shrinkToFit="1"/>
    </xf>
    <xf numFmtId="172" fontId="2" fillId="0" borderId="43" xfId="3" applyNumberFormat="1" applyFont="1" applyBorder="1" applyAlignment="1">
      <alignment shrinkToFit="1"/>
    </xf>
    <xf numFmtId="2" fontId="2" fillId="0" borderId="44" xfId="3" applyNumberFormat="1" applyFont="1" applyBorder="1" applyAlignment="1">
      <alignment shrinkToFit="1"/>
    </xf>
    <xf numFmtId="168" fontId="2" fillId="0" borderId="2" xfId="2" applyNumberFormat="1" applyFont="1" applyBorder="1" applyAlignment="1">
      <alignment shrinkToFit="1"/>
    </xf>
    <xf numFmtId="168" fontId="2" fillId="0" borderId="43" xfId="2" applyNumberFormat="1" applyFont="1" applyBorder="1" applyAlignment="1">
      <alignment shrinkToFit="1"/>
    </xf>
    <xf numFmtId="10" fontId="2" fillId="0" borderId="45" xfId="4" applyNumberFormat="1" applyFont="1" applyFill="1" applyBorder="1" applyAlignment="1">
      <alignment vertical="center" shrinkToFit="1"/>
    </xf>
    <xf numFmtId="0" fontId="2" fillId="0" borderId="2" xfId="1" applyFont="1" applyBorder="1" applyAlignment="1">
      <alignment vertical="center" shrinkToFit="1"/>
    </xf>
    <xf numFmtId="0" fontId="2" fillId="0" borderId="41" xfId="1" applyFont="1" applyBorder="1" applyAlignment="1">
      <alignment vertical="center" shrinkToFit="1"/>
    </xf>
    <xf numFmtId="38" fontId="4" fillId="0" borderId="24" xfId="2" applyFont="1" applyFill="1" applyBorder="1" applyAlignment="1">
      <alignment shrinkToFit="1"/>
    </xf>
    <xf numFmtId="38" fontId="4" fillId="0" borderId="1" xfId="2" applyFont="1" applyFill="1" applyBorder="1" applyAlignment="1">
      <alignment shrinkToFit="1"/>
    </xf>
    <xf numFmtId="38" fontId="4" fillId="0" borderId="25" xfId="2" applyFont="1" applyFill="1" applyBorder="1" applyAlignment="1">
      <alignment shrinkToFit="1"/>
    </xf>
    <xf numFmtId="0" fontId="2" fillId="0" borderId="44" xfId="1" applyFont="1" applyBorder="1" applyAlignment="1">
      <alignment vertical="center" shrinkToFit="1"/>
    </xf>
    <xf numFmtId="38" fontId="5" fillId="0" borderId="42" xfId="2" applyFont="1" applyBorder="1" applyAlignment="1">
      <alignment vertical="center" shrinkToFit="1"/>
    </xf>
    <xf numFmtId="38" fontId="5" fillId="0" borderId="2" xfId="2" applyFont="1" applyBorder="1" applyAlignment="1">
      <alignment vertical="center" shrinkToFit="1"/>
    </xf>
    <xf numFmtId="38" fontId="5" fillId="0" borderId="43" xfId="2" applyFont="1" applyBorder="1" applyAlignment="1">
      <alignment vertical="center" shrinkToFit="1"/>
    </xf>
    <xf numFmtId="38" fontId="2" fillId="0" borderId="42" xfId="2" applyFont="1" applyBorder="1" applyAlignment="1">
      <alignment vertical="center" shrinkToFit="1"/>
    </xf>
    <xf numFmtId="38" fontId="2" fillId="0" borderId="2" xfId="2" applyFont="1" applyBorder="1" applyAlignment="1">
      <alignment vertical="center" shrinkToFit="1"/>
    </xf>
    <xf numFmtId="38" fontId="2" fillId="0" borderId="41" xfId="2" applyFont="1" applyBorder="1" applyAlignment="1">
      <alignment vertical="center" shrinkToFit="1"/>
    </xf>
    <xf numFmtId="9" fontId="2" fillId="0" borderId="42" xfId="4" applyFont="1" applyFill="1" applyBorder="1" applyAlignment="1">
      <alignment shrinkToFit="1"/>
    </xf>
    <xf numFmtId="10" fontId="2" fillId="0" borderId="45" xfId="4" applyNumberFormat="1" applyFont="1" applyFill="1" applyBorder="1" applyAlignment="1">
      <alignment shrinkToFit="1"/>
    </xf>
    <xf numFmtId="10" fontId="5" fillId="0" borderId="2" xfId="6" applyNumberFormat="1" applyFont="1" applyFill="1" applyBorder="1" applyAlignment="1">
      <alignment shrinkToFit="1"/>
    </xf>
    <xf numFmtId="167" fontId="2" fillId="0" borderId="41" xfId="5" applyNumberFormat="1" applyFont="1" applyFill="1" applyBorder="1" applyAlignment="1">
      <alignment shrinkToFit="1"/>
    </xf>
    <xf numFmtId="168" fontId="2" fillId="0" borderId="2" xfId="2" applyNumberFormat="1" applyFont="1" applyFill="1" applyBorder="1" applyAlignment="1">
      <alignment shrinkToFit="1"/>
    </xf>
    <xf numFmtId="168" fontId="2" fillId="0" borderId="43" xfId="2" applyNumberFormat="1" applyFont="1" applyFill="1" applyBorder="1" applyAlignment="1">
      <alignment shrinkToFit="1"/>
    </xf>
    <xf numFmtId="3" fontId="4" fillId="5" borderId="1" xfId="3" applyNumberFormat="1" applyFont="1" applyFill="1" applyBorder="1" applyAlignment="1">
      <alignment shrinkToFit="1"/>
    </xf>
    <xf numFmtId="0" fontId="4" fillId="5" borderId="1" xfId="1" applyFont="1" applyFill="1" applyBorder="1" applyAlignment="1">
      <alignment shrinkToFit="1"/>
    </xf>
    <xf numFmtId="0" fontId="4" fillId="0" borderId="1" xfId="1" applyFont="1" applyBorder="1" applyAlignment="1">
      <alignment shrinkToFit="1"/>
    </xf>
    <xf numFmtId="173" fontId="4" fillId="0" borderId="1" xfId="1" applyNumberFormat="1" applyFont="1" applyBorder="1" applyAlignment="1">
      <alignment shrinkToFit="1"/>
    </xf>
    <xf numFmtId="0" fontId="4" fillId="0" borderId="1" xfId="1" applyFont="1" applyBorder="1" applyAlignment="1">
      <alignment vertical="center" shrinkToFit="1"/>
    </xf>
    <xf numFmtId="0" fontId="4" fillId="0" borderId="23" xfId="1" applyFont="1" applyBorder="1" applyAlignment="1">
      <alignment shrinkToFit="1"/>
    </xf>
    <xf numFmtId="38" fontId="4" fillId="0" borderId="24" xfId="2" applyFont="1" applyBorder="1" applyAlignment="1">
      <alignment shrinkToFit="1"/>
    </xf>
    <xf numFmtId="38" fontId="4" fillId="0" borderId="1" xfId="2" applyFont="1" applyBorder="1" applyAlignment="1">
      <alignment vertical="center" shrinkToFit="1"/>
    </xf>
    <xf numFmtId="38" fontId="4" fillId="0" borderId="25" xfId="2" applyFont="1" applyBorder="1" applyAlignment="1">
      <alignment shrinkToFit="1"/>
    </xf>
    <xf numFmtId="3" fontId="4" fillId="0" borderId="26" xfId="1" applyNumberFormat="1" applyFont="1" applyBorder="1" applyAlignment="1">
      <alignment vertical="center" shrinkToFit="1"/>
    </xf>
    <xf numFmtId="38" fontId="4" fillId="0" borderId="24" xfId="2" applyFont="1" applyBorder="1" applyAlignment="1">
      <alignment vertical="center" shrinkToFit="1"/>
    </xf>
    <xf numFmtId="38" fontId="4" fillId="0" borderId="25" xfId="2" applyFont="1" applyBorder="1" applyAlignment="1">
      <alignment vertical="center" shrinkToFit="1"/>
    </xf>
    <xf numFmtId="38" fontId="4" fillId="0" borderId="23" xfId="2" applyFont="1" applyBorder="1" applyAlignment="1">
      <alignment vertical="center" shrinkToFit="1"/>
    </xf>
    <xf numFmtId="0" fontId="4" fillId="0" borderId="24" xfId="1" applyFont="1" applyBorder="1" applyAlignment="1">
      <alignment vertical="center" shrinkToFit="1"/>
    </xf>
    <xf numFmtId="0" fontId="4" fillId="0" borderId="25" xfId="1" applyFont="1" applyBorder="1" applyAlignment="1">
      <alignment vertical="center" shrinkToFit="1"/>
    </xf>
    <xf numFmtId="0" fontId="4" fillId="0" borderId="22" xfId="1" applyFont="1" applyBorder="1" applyAlignment="1">
      <alignment vertical="center" shrinkToFit="1"/>
    </xf>
    <xf numFmtId="0" fontId="4" fillId="0" borderId="23" xfId="1" applyFont="1" applyBorder="1" applyAlignment="1">
      <alignment vertical="center" shrinkToFit="1"/>
    </xf>
    <xf numFmtId="0" fontId="4" fillId="0" borderId="26" xfId="1" applyFont="1" applyBorder="1" applyAlignment="1">
      <alignment vertical="center" shrinkToFit="1"/>
    </xf>
    <xf numFmtId="166" fontId="4" fillId="0" borderId="22" xfId="4" applyNumberFormat="1" applyFont="1" applyFill="1" applyBorder="1" applyAlignment="1">
      <alignment vertical="center" shrinkToFit="1"/>
    </xf>
    <xf numFmtId="38" fontId="4" fillId="0" borderId="1" xfId="2" applyFont="1" applyBorder="1" applyAlignment="1">
      <alignment shrinkToFit="1"/>
    </xf>
    <xf numFmtId="0" fontId="4" fillId="0" borderId="26" xfId="1" applyFont="1" applyBorder="1" applyAlignment="1">
      <alignment shrinkToFit="1"/>
    </xf>
    <xf numFmtId="38" fontId="4" fillId="0" borderId="27" xfId="2" applyFont="1" applyBorder="1" applyAlignment="1">
      <alignment shrinkToFit="1"/>
    </xf>
    <xf numFmtId="38" fontId="4" fillId="0" borderId="28" xfId="2" applyFont="1" applyBorder="1" applyAlignment="1">
      <alignment shrinkToFit="1"/>
    </xf>
    <xf numFmtId="38" fontId="4" fillId="0" borderId="29" xfId="2" applyFont="1" applyBorder="1" applyAlignment="1">
      <alignment shrinkToFit="1"/>
    </xf>
    <xf numFmtId="38" fontId="4" fillId="0" borderId="29" xfId="2" applyFont="1" applyBorder="1" applyAlignment="1">
      <alignment vertical="center" shrinkToFit="1"/>
    </xf>
    <xf numFmtId="38" fontId="4" fillId="0" borderId="27" xfId="2" applyFont="1" applyBorder="1" applyAlignment="1">
      <alignment vertical="center" shrinkToFit="1"/>
    </xf>
    <xf numFmtId="38" fontId="4" fillId="0" borderId="28" xfId="2" applyFont="1" applyBorder="1" applyAlignment="1">
      <alignment vertical="center" shrinkToFit="1"/>
    </xf>
    <xf numFmtId="38" fontId="4" fillId="0" borderId="30" xfId="2" applyFont="1" applyBorder="1" applyAlignment="1">
      <alignment vertical="center" shrinkToFit="1"/>
    </xf>
    <xf numFmtId="0" fontId="4" fillId="0" borderId="27" xfId="1" applyFont="1" applyBorder="1" applyAlignment="1">
      <alignment vertical="center" shrinkToFit="1"/>
    </xf>
    <xf numFmtId="0" fontId="4" fillId="0" borderId="28" xfId="1" applyFont="1" applyBorder="1" applyAlignment="1">
      <alignment vertical="center" shrinkToFit="1"/>
    </xf>
    <xf numFmtId="0" fontId="4" fillId="0" borderId="29" xfId="1" applyFont="1" applyBorder="1" applyAlignment="1">
      <alignment vertical="center" shrinkToFit="1"/>
    </xf>
    <xf numFmtId="166" fontId="4" fillId="0" borderId="46" xfId="4" applyNumberFormat="1" applyFont="1" applyFill="1" applyBorder="1" applyAlignment="1">
      <alignment vertical="center" shrinkToFit="1"/>
    </xf>
    <xf numFmtId="166" fontId="4" fillId="0" borderId="29" xfId="4" applyNumberFormat="1" applyFont="1" applyFill="1" applyBorder="1" applyAlignment="1">
      <alignment vertical="center" shrinkToFit="1"/>
    </xf>
    <xf numFmtId="0" fontId="2" fillId="0" borderId="0" xfId="1" applyFont="1" applyAlignment="1"/>
    <xf numFmtId="0" fontId="2" fillId="6" borderId="0" xfId="1" applyFont="1" applyFill="1">
      <alignment vertical="center"/>
    </xf>
    <xf numFmtId="0" fontId="2" fillId="6" borderId="0" xfId="1" applyFont="1" applyFill="1" applyAlignment="1"/>
    <xf numFmtId="0" fontId="2" fillId="7" borderId="31" xfId="1" applyFont="1" applyFill="1" applyBorder="1">
      <alignment vertical="center"/>
    </xf>
    <xf numFmtId="0" fontId="2" fillId="7" borderId="8" xfId="1" applyFont="1" applyFill="1" applyBorder="1">
      <alignment vertical="center"/>
    </xf>
    <xf numFmtId="0" fontId="2" fillId="7" borderId="32" xfId="1" applyFont="1" applyFill="1" applyBorder="1">
      <alignment vertical="center"/>
    </xf>
    <xf numFmtId="0" fontId="2" fillId="7" borderId="0" xfId="1" applyFont="1" applyFill="1" applyAlignment="1"/>
    <xf numFmtId="0" fontId="2" fillId="7" borderId="3" xfId="1" applyFont="1" applyFill="1" applyBorder="1">
      <alignment vertical="center"/>
    </xf>
    <xf numFmtId="0" fontId="2" fillId="7" borderId="4" xfId="1" applyFont="1" applyFill="1" applyBorder="1">
      <alignment vertical="center"/>
    </xf>
    <xf numFmtId="0" fontId="2" fillId="7" borderId="5" xfId="1" applyFont="1" applyFill="1" applyBorder="1">
      <alignment vertical="center"/>
    </xf>
    <xf numFmtId="0" fontId="2" fillId="7" borderId="0" xfId="1" applyFont="1" applyFill="1">
      <alignment vertical="center"/>
    </xf>
    <xf numFmtId="0" fontId="2" fillId="6" borderId="3" xfId="1" applyFont="1" applyFill="1" applyBorder="1" applyAlignment="1">
      <alignment horizontal="centerContinuous" vertical="center" shrinkToFit="1"/>
    </xf>
    <xf numFmtId="0" fontId="2" fillId="6" borderId="4" xfId="1" applyFont="1" applyFill="1" applyBorder="1" applyAlignment="1">
      <alignment horizontal="centerContinuous" vertical="center" shrinkToFit="1"/>
    </xf>
    <xf numFmtId="0" fontId="2" fillId="6" borderId="5" xfId="1" applyFont="1" applyFill="1" applyBorder="1" applyAlignment="1">
      <alignment horizontal="centerContinuous" vertical="center" shrinkToFit="1"/>
    </xf>
    <xf numFmtId="3" fontId="2" fillId="6" borderId="9" xfId="3" applyNumberFormat="1" applyFont="1" applyFill="1" applyBorder="1" applyAlignment="1">
      <alignment horizontal="center" vertical="center" shrinkToFit="1"/>
    </xf>
    <xf numFmtId="0" fontId="2" fillId="6" borderId="9" xfId="3" applyFont="1" applyFill="1" applyBorder="1" applyAlignment="1">
      <alignment horizontal="center" vertical="center" shrinkToFit="1"/>
    </xf>
    <xf numFmtId="0" fontId="2" fillId="6" borderId="10" xfId="3" applyFont="1" applyFill="1" applyBorder="1" applyAlignment="1">
      <alignment horizontal="center" vertical="center" shrinkToFit="1"/>
    </xf>
    <xf numFmtId="0" fontId="2" fillId="7" borderId="11" xfId="3" applyFont="1" applyFill="1" applyBorder="1" applyAlignment="1">
      <alignment horizontal="center" vertical="center" shrinkToFit="1"/>
    </xf>
    <xf numFmtId="0" fontId="2" fillId="7" borderId="9" xfId="3" applyFont="1" applyFill="1" applyBorder="1" applyAlignment="1">
      <alignment horizontal="center" vertical="center" shrinkToFit="1"/>
    </xf>
    <xf numFmtId="0" fontId="2" fillId="7" borderId="12" xfId="3" applyFont="1" applyFill="1" applyBorder="1" applyAlignment="1">
      <alignment horizontal="center" vertical="center" shrinkToFit="1"/>
    </xf>
    <xf numFmtId="3" fontId="2" fillId="7" borderId="13" xfId="3" applyNumberFormat="1" applyFont="1" applyFill="1" applyBorder="1" applyAlignment="1">
      <alignment horizontal="center" vertical="center" shrinkToFit="1"/>
    </xf>
    <xf numFmtId="0" fontId="2" fillId="7" borderId="10" xfId="3" applyFont="1" applyFill="1" applyBorder="1" applyAlignment="1">
      <alignment horizontal="center" vertical="center" shrinkToFit="1"/>
    </xf>
    <xf numFmtId="0" fontId="2" fillId="7" borderId="14" xfId="3" applyFont="1" applyFill="1" applyBorder="1" applyAlignment="1">
      <alignment horizontal="center" vertical="center" shrinkToFit="1"/>
    </xf>
    <xf numFmtId="0" fontId="2" fillId="7" borderId="13" xfId="3" applyFont="1" applyFill="1" applyBorder="1" applyAlignment="1">
      <alignment horizontal="center" vertical="center" shrinkToFit="1"/>
    </xf>
    <xf numFmtId="3" fontId="2" fillId="6" borderId="11" xfId="3" applyNumberFormat="1" applyFont="1" applyFill="1" applyBorder="1" applyAlignment="1">
      <alignment horizontal="center" vertical="center" shrinkToFit="1"/>
    </xf>
    <xf numFmtId="3" fontId="4" fillId="6" borderId="9" xfId="3" applyNumberFormat="1" applyFont="1" applyFill="1" applyBorder="1" applyAlignment="1">
      <alignment horizontal="center" vertical="center" shrinkToFit="1"/>
    </xf>
    <xf numFmtId="3" fontId="2" fillId="6" borderId="12" xfId="3" applyNumberFormat="1" applyFont="1" applyFill="1" applyBorder="1" applyAlignment="1">
      <alignment horizontal="center" vertical="center" shrinkToFit="1"/>
    </xf>
    <xf numFmtId="3" fontId="2" fillId="7" borderId="24" xfId="3" applyNumberFormat="1" applyFont="1" applyFill="1" applyBorder="1" applyAlignment="1">
      <alignment shrinkToFit="1"/>
    </xf>
    <xf numFmtId="3" fontId="6" fillId="7" borderId="1" xfId="1" applyNumberFormat="1" applyFont="1" applyFill="1" applyBorder="1" applyAlignment="1">
      <alignment shrinkToFit="1"/>
    </xf>
    <xf numFmtId="3" fontId="2" fillId="7" borderId="25" xfId="3" applyNumberFormat="1" applyFont="1" applyFill="1" applyBorder="1" applyAlignment="1">
      <alignment shrinkToFit="1"/>
    </xf>
    <xf numFmtId="3" fontId="2" fillId="7" borderId="26" xfId="3" applyNumberFormat="1" applyFont="1" applyFill="1" applyBorder="1" applyAlignment="1">
      <alignment shrinkToFit="1"/>
    </xf>
    <xf numFmtId="3" fontId="2" fillId="7" borderId="1" xfId="3" applyNumberFormat="1" applyFont="1" applyFill="1" applyBorder="1" applyAlignment="1">
      <alignment shrinkToFit="1"/>
    </xf>
    <xf numFmtId="3" fontId="6" fillId="7" borderId="24" xfId="3" applyNumberFormat="1" applyFont="1" applyFill="1" applyBorder="1" applyAlignment="1">
      <alignment shrinkToFit="1"/>
    </xf>
    <xf numFmtId="3" fontId="6" fillId="7" borderId="1" xfId="3" applyNumberFormat="1" applyFont="1" applyFill="1" applyBorder="1" applyAlignment="1">
      <alignment shrinkToFit="1"/>
    </xf>
    <xf numFmtId="3" fontId="6" fillId="7" borderId="23" xfId="3" applyNumberFormat="1" applyFont="1" applyFill="1" applyBorder="1" applyAlignment="1">
      <alignment shrinkToFit="1"/>
    </xf>
    <xf numFmtId="9" fontId="2" fillId="7" borderId="24" xfId="4" applyFont="1" applyFill="1" applyBorder="1" applyAlignment="1">
      <alignment shrinkToFit="1"/>
    </xf>
    <xf numFmtId="3" fontId="2" fillId="7" borderId="23" xfId="3" applyNumberFormat="1" applyFont="1" applyFill="1" applyBorder="1" applyAlignment="1">
      <alignment shrinkToFit="1"/>
    </xf>
    <xf numFmtId="10" fontId="2" fillId="7" borderId="22" xfId="4" applyNumberFormat="1" applyFont="1" applyFill="1" applyBorder="1" applyAlignment="1">
      <alignment shrinkToFit="1"/>
    </xf>
    <xf numFmtId="9" fontId="5" fillId="7" borderId="1" xfId="6" applyFont="1" applyFill="1" applyBorder="1" applyAlignment="1">
      <alignment shrinkToFit="1"/>
    </xf>
    <xf numFmtId="167" fontId="2" fillId="7" borderId="23" xfId="5" applyNumberFormat="1" applyFont="1" applyFill="1" applyBorder="1" applyAlignment="1">
      <alignment shrinkToFit="1"/>
    </xf>
    <xf numFmtId="167" fontId="2" fillId="7" borderId="26" xfId="5" applyNumberFormat="1" applyFont="1" applyFill="1" applyBorder="1" applyAlignment="1">
      <alignment shrinkToFit="1"/>
    </xf>
    <xf numFmtId="167" fontId="2" fillId="7" borderId="24" xfId="3" applyNumberFormat="1" applyFont="1" applyFill="1" applyBorder="1" applyAlignment="1">
      <alignment shrinkToFit="1"/>
    </xf>
    <xf numFmtId="167" fontId="2" fillId="7" borderId="1" xfId="3" applyNumberFormat="1" applyFont="1" applyFill="1" applyBorder="1" applyAlignment="1">
      <alignment shrinkToFit="1"/>
    </xf>
    <xf numFmtId="167" fontId="2" fillId="7" borderId="25" xfId="3" applyNumberFormat="1" applyFont="1" applyFill="1" applyBorder="1" applyAlignment="1">
      <alignment shrinkToFit="1"/>
    </xf>
    <xf numFmtId="2" fontId="2" fillId="7" borderId="26" xfId="3" applyNumberFormat="1" applyFont="1" applyFill="1" applyBorder="1" applyAlignment="1">
      <alignment shrinkToFit="1"/>
    </xf>
    <xf numFmtId="169" fontId="2" fillId="7" borderId="24" xfId="3" applyNumberFormat="1" applyFont="1" applyFill="1" applyBorder="1" applyAlignment="1">
      <alignment shrinkToFit="1"/>
    </xf>
    <xf numFmtId="169" fontId="2" fillId="7" borderId="1" xfId="3" applyNumberFormat="1" applyFont="1" applyFill="1" applyBorder="1" applyAlignment="1">
      <alignment shrinkToFit="1"/>
    </xf>
    <xf numFmtId="169" fontId="2" fillId="7" borderId="25" xfId="3" applyNumberFormat="1" applyFont="1" applyFill="1" applyBorder="1" applyAlignment="1">
      <alignment shrinkToFit="1"/>
    </xf>
    <xf numFmtId="3" fontId="6" fillId="7" borderId="25" xfId="3" applyNumberFormat="1" applyFont="1" applyFill="1" applyBorder="1" applyAlignment="1">
      <alignment shrinkToFit="1"/>
    </xf>
    <xf numFmtId="3" fontId="6" fillId="7" borderId="27" xfId="3" applyNumberFormat="1" applyFont="1" applyFill="1" applyBorder="1" applyAlignment="1">
      <alignment shrinkToFit="1"/>
    </xf>
    <xf numFmtId="3" fontId="6" fillId="7" borderId="28" xfId="3" applyNumberFormat="1" applyFont="1" applyFill="1" applyBorder="1" applyAlignment="1">
      <alignment shrinkToFit="1"/>
    </xf>
    <xf numFmtId="3" fontId="6" fillId="7" borderId="29" xfId="3" applyNumberFormat="1" applyFont="1" applyFill="1" applyBorder="1" applyAlignment="1">
      <alignment shrinkToFit="1"/>
    </xf>
    <xf numFmtId="3" fontId="2" fillId="7" borderId="27" xfId="3" applyNumberFormat="1" applyFont="1" applyFill="1" applyBorder="1" applyAlignment="1">
      <alignment shrinkToFit="1"/>
    </xf>
    <xf numFmtId="3" fontId="2" fillId="7" borderId="28" xfId="3" applyNumberFormat="1" applyFont="1" applyFill="1" applyBorder="1" applyAlignment="1">
      <alignment shrinkToFit="1"/>
    </xf>
    <xf numFmtId="3" fontId="2" fillId="7" borderId="29" xfId="3" applyNumberFormat="1" applyFont="1" applyFill="1" applyBorder="1" applyAlignment="1">
      <alignment shrinkToFit="1"/>
    </xf>
    <xf numFmtId="3" fontId="6" fillId="7" borderId="30" xfId="3" applyNumberFormat="1" applyFont="1" applyFill="1" applyBorder="1" applyAlignment="1">
      <alignment shrinkToFit="1"/>
    </xf>
    <xf numFmtId="9" fontId="2" fillId="7" borderId="1" xfId="4" applyFont="1" applyFill="1" applyBorder="1" applyAlignment="1">
      <alignment shrinkToFit="1"/>
    </xf>
    <xf numFmtId="167" fontId="2" fillId="7" borderId="44" xfId="5" applyNumberFormat="1" applyFont="1" applyFill="1" applyBorder="1" applyAlignment="1">
      <alignment shrinkToFit="1"/>
    </xf>
    <xf numFmtId="167" fontId="2" fillId="7" borderId="27" xfId="3" applyNumberFormat="1" applyFont="1" applyFill="1" applyBorder="1" applyAlignment="1">
      <alignment shrinkToFit="1"/>
    </xf>
    <xf numFmtId="167" fontId="2" fillId="7" borderId="28" xfId="3" applyNumberFormat="1" applyFont="1" applyFill="1" applyBorder="1" applyAlignment="1">
      <alignment shrinkToFit="1"/>
    </xf>
    <xf numFmtId="167" fontId="2" fillId="7" borderId="29" xfId="3" applyNumberFormat="1" applyFont="1" applyFill="1" applyBorder="1" applyAlignment="1">
      <alignment shrinkToFit="1"/>
    </xf>
    <xf numFmtId="2" fontId="2" fillId="7" borderId="44" xfId="3" applyNumberFormat="1" applyFont="1" applyFill="1" applyBorder="1" applyAlignment="1">
      <alignment shrinkToFit="1"/>
    </xf>
    <xf numFmtId="169" fontId="2" fillId="7" borderId="27" xfId="3" applyNumberFormat="1" applyFont="1" applyFill="1" applyBorder="1" applyAlignment="1">
      <alignment shrinkToFit="1"/>
    </xf>
    <xf numFmtId="169" fontId="2" fillId="7" borderId="28" xfId="3" applyNumberFormat="1" applyFont="1" applyFill="1" applyBorder="1" applyAlignment="1">
      <alignment shrinkToFit="1"/>
    </xf>
    <xf numFmtId="169" fontId="2" fillId="7" borderId="29" xfId="3" applyNumberFormat="1" applyFont="1" applyFill="1" applyBorder="1" applyAlignment="1">
      <alignment shrinkToFit="1"/>
    </xf>
    <xf numFmtId="0" fontId="2" fillId="8" borderId="0" xfId="1" applyFont="1" applyFill="1">
      <alignment vertical="center"/>
    </xf>
    <xf numFmtId="0" fontId="2" fillId="8" borderId="0" xfId="1" applyFont="1" applyFill="1" applyAlignment="1"/>
    <xf numFmtId="0" fontId="2" fillId="8" borderId="31" xfId="1" applyFont="1" applyFill="1" applyBorder="1">
      <alignment vertical="center"/>
    </xf>
    <xf numFmtId="0" fontId="2" fillId="8" borderId="8" xfId="1" applyFont="1" applyFill="1" applyBorder="1">
      <alignment vertical="center"/>
    </xf>
    <xf numFmtId="0" fontId="2" fillId="8" borderId="32" xfId="1" applyFont="1" applyFill="1" applyBorder="1">
      <alignment vertical="center"/>
    </xf>
    <xf numFmtId="0" fontId="2" fillId="8" borderId="4" xfId="1" applyFont="1" applyFill="1" applyBorder="1">
      <alignment vertical="center"/>
    </xf>
    <xf numFmtId="0" fontId="2" fillId="8" borderId="3" xfId="1" applyFont="1" applyFill="1" applyBorder="1" applyAlignment="1">
      <alignment horizontal="centerContinuous" vertical="center" shrinkToFit="1"/>
    </xf>
    <xf numFmtId="0" fontId="2" fillId="8" borderId="4" xfId="1" applyFont="1" applyFill="1" applyBorder="1" applyAlignment="1">
      <alignment horizontal="centerContinuous" vertical="center" shrinkToFit="1"/>
    </xf>
    <xf numFmtId="0" fontId="2" fillId="8" borderId="5" xfId="1" applyFont="1" applyFill="1" applyBorder="1" applyAlignment="1">
      <alignment horizontal="centerContinuous" vertical="center" shrinkToFit="1"/>
    </xf>
    <xf numFmtId="3" fontId="2" fillId="8" borderId="9" xfId="3" applyNumberFormat="1" applyFont="1" applyFill="1" applyBorder="1" applyAlignment="1">
      <alignment horizontal="center" vertical="center" shrinkToFit="1"/>
    </xf>
    <xf numFmtId="0" fontId="2" fillId="8" borderId="9" xfId="3" applyFont="1" applyFill="1" applyBorder="1" applyAlignment="1">
      <alignment horizontal="center" vertical="center" shrinkToFit="1"/>
    </xf>
    <xf numFmtId="0" fontId="2" fillId="8" borderId="10" xfId="3" applyFont="1" applyFill="1" applyBorder="1" applyAlignment="1">
      <alignment horizontal="center" vertical="center" shrinkToFit="1"/>
    </xf>
    <xf numFmtId="0" fontId="2" fillId="8" borderId="11" xfId="3" applyFont="1" applyFill="1" applyBorder="1" applyAlignment="1">
      <alignment horizontal="center" vertical="center" shrinkToFit="1"/>
    </xf>
    <xf numFmtId="0" fontId="2" fillId="8" borderId="12" xfId="3" applyFont="1" applyFill="1" applyBorder="1" applyAlignment="1">
      <alignment horizontal="center" vertical="center" shrinkToFit="1"/>
    </xf>
    <xf numFmtId="3" fontId="2" fillId="8" borderId="13" xfId="3" applyNumberFormat="1" applyFont="1" applyFill="1" applyBorder="1" applyAlignment="1">
      <alignment horizontal="center" vertical="center" shrinkToFit="1"/>
    </xf>
    <xf numFmtId="0" fontId="2" fillId="8" borderId="14" xfId="3" applyFont="1" applyFill="1" applyBorder="1" applyAlignment="1">
      <alignment horizontal="center" vertical="center" shrinkToFit="1"/>
    </xf>
    <xf numFmtId="0" fontId="2" fillId="8" borderId="13" xfId="3" applyFont="1" applyFill="1" applyBorder="1" applyAlignment="1">
      <alignment horizontal="center" vertical="center" shrinkToFit="1"/>
    </xf>
    <xf numFmtId="3" fontId="2" fillId="8" borderId="14" xfId="3" applyNumberFormat="1" applyFont="1" applyFill="1" applyBorder="1" applyAlignment="1">
      <alignment horizontal="center" vertical="center" shrinkToFit="1"/>
    </xf>
    <xf numFmtId="3" fontId="4" fillId="8" borderId="9" xfId="3" applyNumberFormat="1" applyFont="1" applyFill="1" applyBorder="1" applyAlignment="1">
      <alignment horizontal="center" vertical="center" shrinkToFit="1"/>
    </xf>
    <xf numFmtId="3" fontId="2" fillId="8" borderId="12" xfId="3" applyNumberFormat="1" applyFont="1" applyFill="1" applyBorder="1" applyAlignment="1">
      <alignment horizontal="center" vertical="center" shrinkToFit="1"/>
    </xf>
    <xf numFmtId="170" fontId="2" fillId="7" borderId="1" xfId="3" applyNumberFormat="1" applyFont="1" applyFill="1" applyBorder="1" applyAlignment="1">
      <alignment shrinkToFit="1"/>
    </xf>
    <xf numFmtId="0" fontId="2" fillId="7" borderId="1" xfId="3" applyFont="1" applyFill="1" applyBorder="1" applyAlignment="1">
      <alignment shrinkToFit="1"/>
    </xf>
    <xf numFmtId="3" fontId="2" fillId="7" borderId="1" xfId="1" applyNumberFormat="1" applyFont="1" applyFill="1" applyBorder="1" applyAlignment="1">
      <alignment shrinkToFit="1"/>
    </xf>
    <xf numFmtId="168" fontId="2" fillId="7" borderId="24" xfId="2" applyNumberFormat="1" applyFont="1" applyFill="1" applyBorder="1" applyAlignment="1">
      <alignment shrinkToFit="1"/>
    </xf>
    <xf numFmtId="168" fontId="2" fillId="7" borderId="1" xfId="2" applyNumberFormat="1" applyFont="1" applyFill="1" applyBorder="1" applyAlignment="1">
      <alignment shrinkToFit="1"/>
    </xf>
    <xf numFmtId="168" fontId="2" fillId="7" borderId="25" xfId="2" applyNumberFormat="1" applyFont="1" applyFill="1" applyBorder="1" applyAlignment="1">
      <alignment shrinkToFit="1"/>
    </xf>
    <xf numFmtId="166" fontId="2" fillId="7" borderId="22" xfId="4" applyNumberFormat="1" applyFont="1" applyFill="1" applyBorder="1" applyAlignment="1">
      <alignment vertical="center" shrinkToFit="1"/>
    </xf>
    <xf numFmtId="166" fontId="2" fillId="7" borderId="1" xfId="4" applyNumberFormat="1" applyFont="1" applyFill="1" applyBorder="1" applyAlignment="1">
      <alignment vertical="center" shrinkToFit="1"/>
    </xf>
    <xf numFmtId="166" fontId="4" fillId="7" borderId="1" xfId="4" applyNumberFormat="1" applyFont="1" applyFill="1" applyBorder="1" applyAlignment="1">
      <alignment vertical="center" shrinkToFit="1"/>
    </xf>
    <xf numFmtId="166" fontId="2" fillId="7" borderId="25" xfId="4" applyNumberFormat="1" applyFont="1" applyFill="1" applyBorder="1" applyAlignment="1">
      <alignment vertical="center" shrinkToFit="1"/>
    </xf>
    <xf numFmtId="3" fontId="4" fillId="0" borderId="27" xfId="3" applyNumberFormat="1" applyFont="1" applyBorder="1" applyAlignment="1">
      <alignment shrinkToFit="1"/>
    </xf>
    <xf numFmtId="3" fontId="4" fillId="0" borderId="29" xfId="3" applyNumberFormat="1" applyFont="1" applyBorder="1" applyAlignment="1">
      <alignment shrinkToFit="1"/>
    </xf>
    <xf numFmtId="166" fontId="2" fillId="0" borderId="46" xfId="4" applyNumberFormat="1" applyFont="1" applyFill="1" applyBorder="1" applyAlignment="1">
      <alignment shrinkToFit="1"/>
    </xf>
    <xf numFmtId="0" fontId="1" fillId="0" borderId="0" xfId="1" applyAlignment="1"/>
    <xf numFmtId="9" fontId="1" fillId="0" borderId="0" xfId="1" applyNumberFormat="1" applyAlignment="1"/>
    <xf numFmtId="0" fontId="7" fillId="0" borderId="0" xfId="1" applyFont="1">
      <alignment vertical="center"/>
    </xf>
    <xf numFmtId="0" fontId="8" fillId="0" borderId="0" xfId="1" applyFont="1" applyAlignment="1"/>
    <xf numFmtId="173" fontId="1" fillId="0" borderId="0" xfId="1" applyNumberFormat="1" applyAlignment="1"/>
    <xf numFmtId="3" fontId="7" fillId="0" borderId="0" xfId="1" applyNumberFormat="1" applyFont="1">
      <alignment vertical="center"/>
    </xf>
    <xf numFmtId="0" fontId="7" fillId="0" borderId="0" xfId="1" applyFont="1" applyAlignment="1"/>
    <xf numFmtId="173" fontId="7" fillId="0" borderId="0" xfId="1" applyNumberFormat="1" applyFont="1" applyAlignment="1"/>
    <xf numFmtId="38" fontId="7" fillId="0" borderId="0" xfId="2" applyFont="1">
      <alignment vertical="center"/>
    </xf>
    <xf numFmtId="0" fontId="13" fillId="0" borderId="0" xfId="0" applyFont="1"/>
    <xf numFmtId="3" fontId="2" fillId="11" borderId="24" xfId="3" applyNumberFormat="1" applyFont="1" applyFill="1" applyBorder="1" applyAlignment="1">
      <alignment shrinkToFit="1"/>
    </xf>
    <xf numFmtId="0" fontId="22" fillId="0" borderId="0" xfId="0" applyFont="1"/>
    <xf numFmtId="0" fontId="13" fillId="0" borderId="0" xfId="0" applyFont="1" applyAlignment="1">
      <alignment wrapText="1"/>
    </xf>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24" fillId="0" borderId="0" xfId="0" applyFont="1" applyAlignment="1">
      <alignment vertical="center" shrinkToFit="1"/>
    </xf>
    <xf numFmtId="0" fontId="24" fillId="0" borderId="1" xfId="1" applyFont="1" applyBorder="1" applyAlignment="1">
      <alignment vertical="center" shrinkToFit="1"/>
    </xf>
    <xf numFmtId="0" fontId="24" fillId="2" borderId="0" xfId="0" applyFont="1" applyFill="1" applyAlignment="1">
      <alignment vertical="center" shrinkToFit="1"/>
    </xf>
    <xf numFmtId="9" fontId="24" fillId="2" borderId="1" xfId="1" applyNumberFormat="1" applyFont="1" applyFill="1" applyBorder="1" applyAlignment="1">
      <alignment vertical="center" shrinkToFit="1"/>
    </xf>
    <xf numFmtId="41" fontId="24" fillId="0" borderId="0" xfId="7" applyFont="1" applyBorder="1" applyAlignment="1">
      <alignment vertical="center" shrinkToFit="1"/>
    </xf>
    <xf numFmtId="0" fontId="24" fillId="12" borderId="48" xfId="0" applyFont="1" applyFill="1" applyBorder="1" applyAlignment="1">
      <alignment horizontal="centerContinuous" vertical="center" shrinkToFit="1"/>
    </xf>
    <xf numFmtId="0" fontId="24" fillId="12" borderId="0" xfId="0" applyFont="1" applyFill="1" applyAlignment="1">
      <alignment horizontal="centerContinuous" vertical="center" shrinkToFit="1"/>
    </xf>
    <xf numFmtId="0" fontId="24" fillId="12" borderId="38" xfId="0" applyFont="1" applyFill="1" applyBorder="1" applyAlignment="1">
      <alignment horizontal="centerContinuous" vertical="center" shrinkToFit="1"/>
    </xf>
    <xf numFmtId="0" fontId="24" fillId="12" borderId="0" xfId="0" applyFont="1" applyFill="1" applyAlignment="1">
      <alignment vertical="center" shrinkToFit="1"/>
    </xf>
    <xf numFmtId="0" fontId="24" fillId="5" borderId="0" xfId="0" applyFont="1" applyFill="1" applyAlignment="1">
      <alignment horizontal="centerContinuous" vertical="center"/>
    </xf>
    <xf numFmtId="0" fontId="24" fillId="0" borderId="0" xfId="0" applyFont="1" applyAlignment="1">
      <alignment horizontal="center" vertical="center"/>
    </xf>
    <xf numFmtId="0" fontId="24" fillId="13" borderId="49" xfId="9" applyFont="1" applyFill="1" applyBorder="1" applyAlignment="1">
      <alignment horizontal="center" vertical="center" shrinkToFit="1"/>
    </xf>
    <xf numFmtId="0" fontId="24" fillId="12" borderId="49" xfId="9" applyFont="1" applyFill="1" applyBorder="1" applyAlignment="1">
      <alignment horizontal="center" vertical="center" shrinkToFit="1"/>
    </xf>
    <xf numFmtId="0" fontId="24" fillId="12" borderId="49" xfId="0" applyFont="1" applyFill="1" applyBorder="1" applyAlignment="1">
      <alignment horizontal="center" vertical="center" shrinkToFit="1"/>
    </xf>
    <xf numFmtId="0" fontId="24" fillId="12" borderId="37" xfId="0" applyFont="1" applyFill="1" applyBorder="1" applyAlignment="1">
      <alignment horizontal="center" vertical="center" shrinkToFit="1"/>
    </xf>
    <xf numFmtId="0" fontId="24" fillId="12" borderId="50" xfId="0" applyFont="1" applyFill="1" applyBorder="1" applyAlignment="1">
      <alignment horizontal="center" vertical="center" shrinkToFit="1"/>
    </xf>
    <xf numFmtId="0" fontId="24" fillId="14" borderId="49" xfId="0" applyFont="1" applyFill="1" applyBorder="1" applyAlignment="1">
      <alignment horizontal="center" vertical="center" shrinkToFit="1"/>
    </xf>
    <xf numFmtId="0" fontId="28" fillId="15" borderId="0" xfId="0" applyFont="1" applyFill="1" applyAlignment="1">
      <alignment horizontal="center" vertical="center"/>
    </xf>
    <xf numFmtId="0" fontId="24" fillId="13" borderId="26" xfId="9" applyFont="1" applyFill="1" applyBorder="1" applyAlignment="1">
      <alignment vertical="center" shrinkToFit="1"/>
    </xf>
    <xf numFmtId="0" fontId="24" fillId="14" borderId="26" xfId="9" applyFont="1" applyFill="1" applyBorder="1" applyAlignment="1">
      <alignment vertical="center" shrinkToFit="1"/>
    </xf>
    <xf numFmtId="0" fontId="24" fillId="0" borderId="26" xfId="0" applyFont="1" applyBorder="1" applyAlignment="1">
      <alignment vertical="center" shrinkToFit="1"/>
    </xf>
    <xf numFmtId="9" fontId="24" fillId="0" borderId="26" xfId="0" applyNumberFormat="1" applyFont="1" applyBorder="1" applyAlignment="1">
      <alignment vertical="center" shrinkToFit="1"/>
    </xf>
    <xf numFmtId="3" fontId="29" fillId="0" borderId="23" xfId="0" applyNumberFormat="1" applyFont="1" applyBorder="1" applyAlignment="1">
      <alignment vertical="center" shrinkToFit="1"/>
    </xf>
    <xf numFmtId="3" fontId="24" fillId="0" borderId="26" xfId="0" applyNumberFormat="1" applyFont="1" applyBorder="1" applyAlignment="1">
      <alignment vertical="center" shrinkToFit="1"/>
    </xf>
    <xf numFmtId="0" fontId="24" fillId="0" borderId="22" xfId="0" applyFont="1" applyBorder="1" applyAlignment="1">
      <alignment vertical="center" shrinkToFit="1"/>
    </xf>
    <xf numFmtId="38" fontId="24" fillId="2" borderId="26" xfId="10" applyFont="1" applyFill="1" applyBorder="1" applyAlignment="1"/>
    <xf numFmtId="3" fontId="24" fillId="0" borderId="23" xfId="0" applyNumberFormat="1" applyFont="1" applyBorder="1" applyAlignment="1">
      <alignment vertical="center" shrinkToFit="1"/>
    </xf>
    <xf numFmtId="166" fontId="24" fillId="0" borderId="26" xfId="4" applyNumberFormat="1" applyFont="1" applyFill="1" applyBorder="1" applyAlignment="1">
      <alignment vertical="center" shrinkToFit="1"/>
    </xf>
    <xf numFmtId="0" fontId="29" fillId="0" borderId="0" xfId="0" applyFont="1" applyAlignment="1">
      <alignment vertical="center"/>
    </xf>
    <xf numFmtId="3" fontId="24" fillId="0" borderId="0" xfId="0" applyNumberFormat="1" applyFont="1" applyAlignment="1">
      <alignment vertical="center"/>
    </xf>
    <xf numFmtId="0" fontId="24" fillId="0" borderId="26" xfId="9" applyFont="1" applyBorder="1" applyAlignment="1">
      <alignment vertical="center" shrinkToFit="1"/>
    </xf>
    <xf numFmtId="9" fontId="31" fillId="2" borderId="26" xfId="11" applyFont="1" applyFill="1" applyBorder="1" applyAlignment="1">
      <alignment vertical="center"/>
    </xf>
    <xf numFmtId="3" fontId="29" fillId="0" borderId="22" xfId="0" applyNumberFormat="1" applyFont="1" applyBorder="1" applyAlignment="1">
      <alignment vertical="center" shrinkToFit="1"/>
    </xf>
    <xf numFmtId="3" fontId="29" fillId="0" borderId="26" xfId="0" applyNumberFormat="1" applyFont="1" applyBorder="1" applyAlignment="1">
      <alignment vertical="center" shrinkToFit="1"/>
    </xf>
    <xf numFmtId="0" fontId="24" fillId="13" borderId="26" xfId="0" applyFont="1" applyFill="1" applyBorder="1" applyAlignment="1">
      <alignment vertical="center" shrinkToFit="1"/>
    </xf>
    <xf numFmtId="3" fontId="24" fillId="0" borderId="0" xfId="0" applyNumberFormat="1" applyFont="1" applyAlignment="1">
      <alignment vertical="center" shrinkToFit="1"/>
    </xf>
    <xf numFmtId="0" fontId="24" fillId="0" borderId="44" xfId="0" applyFont="1" applyBorder="1" applyAlignment="1">
      <alignment vertical="center" shrinkToFit="1"/>
    </xf>
    <xf numFmtId="41" fontId="24" fillId="0" borderId="0" xfId="7" applyFont="1" applyAlignment="1">
      <alignment vertical="center" shrinkToFit="1"/>
    </xf>
    <xf numFmtId="0" fontId="24" fillId="5" borderId="1" xfId="0" applyFont="1" applyFill="1" applyBorder="1" applyAlignment="1">
      <alignment horizontal="center" vertical="center" shrinkToFit="1"/>
    </xf>
    <xf numFmtId="41" fontId="24" fillId="0" borderId="1" xfId="7" applyFont="1" applyBorder="1" applyAlignment="1">
      <alignment vertical="center" shrinkToFit="1"/>
    </xf>
    <xf numFmtId="38" fontId="24" fillId="0" borderId="0" xfId="0" applyNumberFormat="1" applyFont="1" applyAlignment="1">
      <alignment vertical="center" shrinkToFit="1"/>
    </xf>
    <xf numFmtId="166" fontId="24" fillId="16" borderId="26" xfId="4" applyNumberFormat="1" applyFont="1" applyFill="1" applyBorder="1" applyAlignment="1">
      <alignment vertical="center" shrinkToFit="1"/>
    </xf>
    <xf numFmtId="0" fontId="24" fillId="16" borderId="0" xfId="0" applyFont="1" applyFill="1" applyAlignment="1">
      <alignment vertical="center"/>
    </xf>
    <xf numFmtId="166" fontId="24" fillId="16" borderId="44" xfId="4" applyNumberFormat="1" applyFont="1" applyFill="1" applyBorder="1" applyAlignment="1">
      <alignment vertical="center" shrinkToFit="1"/>
    </xf>
    <xf numFmtId="166" fontId="24" fillId="0" borderId="44" xfId="4" applyNumberFormat="1" applyFont="1" applyFill="1" applyBorder="1" applyAlignment="1">
      <alignment vertical="center" shrinkToFit="1"/>
    </xf>
    <xf numFmtId="166" fontId="24" fillId="16" borderId="31" xfId="4" applyNumberFormat="1" applyFont="1" applyFill="1" applyBorder="1" applyAlignment="1">
      <alignment vertical="center" shrinkToFit="1"/>
    </xf>
    <xf numFmtId="166" fontId="24" fillId="16" borderId="8" xfId="4" applyNumberFormat="1" applyFont="1" applyFill="1" applyBorder="1" applyAlignment="1">
      <alignment vertical="center" shrinkToFit="1"/>
    </xf>
    <xf numFmtId="166" fontId="24" fillId="0" borderId="8" xfId="4" applyNumberFormat="1" applyFont="1" applyFill="1" applyBorder="1" applyAlignment="1">
      <alignment vertical="center" shrinkToFit="1"/>
    </xf>
    <xf numFmtId="166" fontId="24" fillId="0" borderId="32" xfId="4" applyNumberFormat="1" applyFont="1" applyFill="1" applyBorder="1" applyAlignment="1">
      <alignment vertical="center" shrinkToFit="1"/>
    </xf>
    <xf numFmtId="166" fontId="24" fillId="16" borderId="51" xfId="4" applyNumberFormat="1" applyFont="1" applyFill="1" applyBorder="1" applyAlignment="1">
      <alignment vertical="center" shrinkToFit="1"/>
    </xf>
    <xf numFmtId="166" fontId="24" fillId="0" borderId="52" xfId="4" applyNumberFormat="1" applyFont="1" applyFill="1" applyBorder="1" applyAlignment="1">
      <alignment vertical="center" shrinkToFit="1"/>
    </xf>
    <xf numFmtId="166" fontId="24" fillId="16" borderId="52" xfId="4" applyNumberFormat="1" applyFont="1" applyFill="1" applyBorder="1" applyAlignment="1">
      <alignment vertical="center" shrinkToFit="1"/>
    </xf>
    <xf numFmtId="166" fontId="24" fillId="0" borderId="53" xfId="4" applyNumberFormat="1" applyFont="1" applyFill="1" applyBorder="1" applyAlignment="1">
      <alignment vertical="center" shrinkToFit="1"/>
    </xf>
    <xf numFmtId="166" fontId="24" fillId="0" borderId="54" xfId="4" applyNumberFormat="1" applyFont="1" applyFill="1" applyBorder="1" applyAlignment="1">
      <alignment vertical="center" shrinkToFit="1"/>
    </xf>
    <xf numFmtId="166" fontId="24" fillId="16" borderId="54" xfId="4" applyNumberFormat="1" applyFont="1" applyFill="1" applyBorder="1" applyAlignment="1">
      <alignment vertical="center" shrinkToFit="1"/>
    </xf>
    <xf numFmtId="166" fontId="24" fillId="16" borderId="55" xfId="4" applyNumberFormat="1" applyFont="1" applyFill="1" applyBorder="1" applyAlignment="1">
      <alignment vertical="center" shrinkToFit="1"/>
    </xf>
    <xf numFmtId="3" fontId="2" fillId="3" borderId="2" xfId="3" applyNumberFormat="1" applyFont="1" applyFill="1" applyBorder="1" applyAlignment="1">
      <alignment horizontal="center" vertical="center" shrinkToFit="1"/>
    </xf>
    <xf numFmtId="0" fontId="24" fillId="0" borderId="1" xfId="9" applyFont="1" applyBorder="1" applyAlignment="1">
      <alignment vertical="center" shrinkToFit="1"/>
    </xf>
    <xf numFmtId="0" fontId="24" fillId="0" borderId="1" xfId="0" applyFont="1" applyBorder="1" applyAlignment="1">
      <alignment vertical="center" shrinkToFit="1"/>
    </xf>
    <xf numFmtId="166" fontId="24" fillId="17" borderId="26" xfId="4" applyNumberFormat="1" applyFont="1" applyFill="1" applyBorder="1" applyAlignment="1">
      <alignment horizontal="center" vertical="center" shrinkToFit="1"/>
    </xf>
    <xf numFmtId="166" fontId="24" fillId="17" borderId="31" xfId="4" applyNumberFormat="1" applyFont="1" applyFill="1" applyBorder="1" applyAlignment="1">
      <alignment horizontal="center" vertical="center" shrinkToFit="1"/>
    </xf>
    <xf numFmtId="166" fontId="24" fillId="17" borderId="8" xfId="4" applyNumberFormat="1" applyFont="1" applyFill="1" applyBorder="1" applyAlignment="1">
      <alignment horizontal="center" vertical="center" shrinkToFit="1"/>
    </xf>
    <xf numFmtId="166" fontId="24" fillId="17" borderId="51" xfId="4" applyNumberFormat="1" applyFont="1" applyFill="1" applyBorder="1" applyAlignment="1">
      <alignment horizontal="center" vertical="center" shrinkToFit="1"/>
    </xf>
    <xf numFmtId="166" fontId="24" fillId="17" borderId="52" xfId="4" applyNumberFormat="1" applyFont="1" applyFill="1" applyBorder="1" applyAlignment="1">
      <alignment horizontal="center" vertical="center" shrinkToFit="1"/>
    </xf>
    <xf numFmtId="166" fontId="24" fillId="17" borderId="54" xfId="4" applyNumberFormat="1" applyFont="1" applyFill="1" applyBorder="1" applyAlignment="1">
      <alignment horizontal="center" vertical="center" shrinkToFit="1"/>
    </xf>
    <xf numFmtId="166" fontId="24" fillId="17" borderId="55" xfId="4" applyNumberFormat="1" applyFont="1" applyFill="1" applyBorder="1" applyAlignment="1">
      <alignment horizontal="center" vertical="center" shrinkToFit="1"/>
    </xf>
    <xf numFmtId="0" fontId="33" fillId="0" borderId="0" xfId="0" applyFont="1" applyAlignment="1" applyProtection="1">
      <alignment horizontal="right"/>
      <protection locked="0"/>
    </xf>
    <xf numFmtId="0" fontId="36" fillId="0" borderId="0" xfId="0" applyFont="1"/>
    <xf numFmtId="10" fontId="36" fillId="2" borderId="0" xfId="8" applyNumberFormat="1" applyFont="1" applyFill="1" applyAlignment="1">
      <alignment wrapText="1"/>
    </xf>
    <xf numFmtId="174" fontId="36" fillId="0" borderId="0" xfId="7" applyNumberFormat="1" applyFont="1"/>
    <xf numFmtId="41" fontId="36" fillId="0" borderId="0" xfId="0" applyNumberFormat="1" applyFont="1"/>
    <xf numFmtId="41" fontId="36" fillId="0" borderId="0" xfId="7" applyFont="1"/>
    <xf numFmtId="0" fontId="35" fillId="0" borderId="0" xfId="0" applyFont="1"/>
    <xf numFmtId="166" fontId="36" fillId="2" borderId="0" xfId="8" applyNumberFormat="1" applyFont="1" applyFill="1" applyAlignment="1">
      <alignment wrapText="1"/>
    </xf>
    <xf numFmtId="0" fontId="13" fillId="0" borderId="0" xfId="0" applyFont="1" applyProtection="1">
      <protection locked="0"/>
    </xf>
    <xf numFmtId="0" fontId="16" fillId="0" borderId="0" xfId="0" applyFont="1" applyProtection="1">
      <protection locked="0"/>
    </xf>
    <xf numFmtId="0" fontId="18" fillId="9" borderId="0" xfId="0" applyFont="1" applyFill="1" applyAlignment="1" applyProtection="1">
      <alignment horizontal="centerContinuous" vertical="center"/>
      <protection locked="0"/>
    </xf>
    <xf numFmtId="0" fontId="19" fillId="9" borderId="0" xfId="0" applyFont="1" applyFill="1" applyAlignment="1" applyProtection="1">
      <alignment horizontal="centerContinuous" vertical="center"/>
      <protection locked="0"/>
    </xf>
    <xf numFmtId="0" fontId="18" fillId="10" borderId="0" xfId="0" applyFont="1" applyFill="1" applyAlignment="1" applyProtection="1">
      <alignment horizontal="centerContinuous" vertical="center"/>
      <protection locked="0"/>
    </xf>
    <xf numFmtId="0" fontId="19" fillId="10" borderId="0" xfId="0" applyFont="1" applyFill="1" applyAlignment="1" applyProtection="1">
      <alignment horizontal="centerContinuous" vertical="center"/>
      <protection locked="0"/>
    </xf>
    <xf numFmtId="0" fontId="13" fillId="0" borderId="0" xfId="0" applyFont="1" applyAlignment="1" applyProtection="1">
      <alignment vertical="center"/>
      <protection locked="0"/>
    </xf>
    <xf numFmtId="0" fontId="19" fillId="0" borderId="47" xfId="0" applyFont="1" applyBorder="1" applyAlignment="1" applyProtection="1">
      <alignment horizontal="center" vertical="center"/>
      <protection locked="0"/>
    </xf>
    <xf numFmtId="0" fontId="14" fillId="0" borderId="47" xfId="0" applyFont="1" applyBorder="1" applyAlignment="1" applyProtection="1">
      <alignment horizontal="center" vertical="center"/>
      <protection locked="0"/>
    </xf>
    <xf numFmtId="41" fontId="14" fillId="9" borderId="47" xfId="7" applyFont="1" applyFill="1" applyBorder="1" applyAlignment="1" applyProtection="1">
      <alignment horizontal="center" vertical="center"/>
      <protection locked="0"/>
    </xf>
    <xf numFmtId="0" fontId="14" fillId="0" borderId="0" xfId="0" applyFont="1" applyAlignment="1" applyProtection="1">
      <alignment vertical="center"/>
      <protection locked="0"/>
    </xf>
    <xf numFmtId="41" fontId="14" fillId="10" borderId="47" xfId="7" applyFont="1" applyFill="1" applyBorder="1" applyAlignment="1" applyProtection="1">
      <alignment vertical="center"/>
      <protection locked="0"/>
    </xf>
    <xf numFmtId="41" fontId="14" fillId="0" borderId="47" xfId="7" applyFont="1" applyBorder="1" applyAlignment="1" applyProtection="1">
      <alignment horizontal="center" vertical="center"/>
      <protection locked="0"/>
    </xf>
    <xf numFmtId="41" fontId="14" fillId="0" borderId="47" xfId="7" applyFont="1" applyBorder="1" applyAlignment="1" applyProtection="1">
      <alignment horizontal="right" vertical="center"/>
      <protection locked="0"/>
    </xf>
    <xf numFmtId="0" fontId="13" fillId="0" borderId="0" xfId="0" applyFont="1" applyAlignment="1" applyProtection="1">
      <alignment wrapText="1"/>
      <protection locked="0"/>
    </xf>
    <xf numFmtId="0" fontId="34" fillId="0" borderId="0" xfId="0" applyFont="1" applyAlignment="1" applyProtection="1">
      <alignment horizontal="right"/>
      <protection locked="0"/>
    </xf>
    <xf numFmtId="0" fontId="18" fillId="9" borderId="0" xfId="0" applyFont="1" applyFill="1" applyAlignment="1" applyProtection="1">
      <alignment horizontal="centerContinuous" vertical="center" wrapText="1"/>
      <protection locked="0"/>
    </xf>
    <xf numFmtId="0" fontId="18" fillId="10" borderId="0" xfId="0" applyFont="1" applyFill="1" applyAlignment="1" applyProtection="1">
      <alignment horizontal="centerContinuous" vertical="center" wrapText="1"/>
      <protection locked="0"/>
    </xf>
    <xf numFmtId="0" fontId="13" fillId="0" borderId="0" xfId="0" applyFont="1" applyAlignment="1" applyProtection="1">
      <alignment vertical="center" wrapText="1"/>
      <protection locked="0"/>
    </xf>
    <xf numFmtId="0" fontId="19" fillId="0" borderId="47" xfId="0" applyFont="1" applyBorder="1" applyAlignment="1" applyProtection="1">
      <alignment horizontal="center" vertical="center" wrapText="1"/>
      <protection locked="0"/>
    </xf>
    <xf numFmtId="0" fontId="14" fillId="0" borderId="0" xfId="0" applyFont="1" applyAlignment="1" applyProtection="1">
      <alignment vertical="center" wrapText="1"/>
      <protection locked="0"/>
    </xf>
    <xf numFmtId="41" fontId="14" fillId="10" borderId="47" xfId="7" applyFont="1" applyFill="1" applyBorder="1" applyAlignment="1" applyProtection="1">
      <alignment horizontal="center" vertical="center"/>
      <protection locked="0"/>
    </xf>
    <xf numFmtId="0" fontId="15" fillId="0" borderId="0" xfId="0" applyFont="1" applyAlignment="1" applyProtection="1">
      <alignment vertical="center" wrapText="1"/>
      <protection locked="0"/>
    </xf>
    <xf numFmtId="0" fontId="18" fillId="0" borderId="0" xfId="0" applyFont="1" applyAlignment="1" applyProtection="1">
      <alignment horizontal="left" wrapText="1"/>
      <protection locked="0"/>
    </xf>
  </cellXfs>
  <cellStyles count="12">
    <cellStyle name="パーセント" xfId="8" builtinId="5"/>
    <cellStyle name="パーセント 2 2" xfId="4" xr:uid="{243948D1-4FBE-4607-80CC-6E493FC6540B}"/>
    <cellStyle name="パーセント 2 2 2 4" xfId="6" xr:uid="{4B14C078-E11E-4BC3-8B87-A4E74D5B8148}"/>
    <cellStyle name="パーセント 4" xfId="11" xr:uid="{6347C0C7-7835-4D28-9B64-74D69BCF1D4B}"/>
    <cellStyle name="桁区切り" xfId="7" builtinId="6"/>
    <cellStyle name="桁区切り 2 2" xfId="2" xr:uid="{034923B4-5CB9-4618-A49C-A6C0F2A89B91}"/>
    <cellStyle name="桁区切り 2 2 2 4" xfId="5" xr:uid="{B402DD3B-C0A4-4C8A-AA6C-A0107F04E788}"/>
    <cellStyle name="桁区切り 3" xfId="10" xr:uid="{97012363-FDE2-4563-9343-C024A10C3F43}"/>
    <cellStyle name="標準" xfId="0" builtinId="0"/>
    <cellStyle name="標準 2 2 2 6" xfId="3" xr:uid="{59658DB6-4587-42C0-B815-92E8D78937FB}"/>
    <cellStyle name="標準 2 2 3" xfId="1" xr:uid="{FC9E1381-987C-49AC-8F3D-2897A55BCE2F}"/>
    <cellStyle name="標準 2 5" xfId="9" xr:uid="{5F4FE40E-12C3-4082-BB7E-59366F8D6609}"/>
  </cellStyles>
  <dxfs count="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38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1327150</xdr:colOff>
      <xdr:row>6</xdr:row>
      <xdr:rowOff>44450</xdr:rowOff>
    </xdr:from>
    <xdr:to>
      <xdr:col>1</xdr:col>
      <xdr:colOff>1327150</xdr:colOff>
      <xdr:row>7</xdr:row>
      <xdr:rowOff>25400</xdr:rowOff>
    </xdr:to>
    <xdr:cxnSp macro="">
      <xdr:nvCxnSpPr>
        <xdr:cNvPr id="2" name="直線矢印コネクタ 1">
          <a:extLst>
            <a:ext uri="{FF2B5EF4-FFF2-40B4-BE49-F238E27FC236}">
              <a16:creationId xmlns:a16="http://schemas.microsoft.com/office/drawing/2014/main" id="{E5BB5841-1754-4154-8796-8DFA2742AA28}"/>
            </a:ext>
          </a:extLst>
        </xdr:cNvPr>
        <xdr:cNvCxnSpPr/>
      </xdr:nvCxnSpPr>
      <xdr:spPr>
        <a:xfrm>
          <a:off x="1476375" y="1476375"/>
          <a:ext cx="0" cy="2857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1327150</xdr:colOff>
      <xdr:row>8</xdr:row>
      <xdr:rowOff>31750</xdr:rowOff>
    </xdr:from>
    <xdr:to>
      <xdr:col>1</xdr:col>
      <xdr:colOff>1327150</xdr:colOff>
      <xdr:row>9</xdr:row>
      <xdr:rowOff>12700</xdr:rowOff>
    </xdr:to>
    <xdr:cxnSp macro="">
      <xdr:nvCxnSpPr>
        <xdr:cNvPr id="3" name="直線矢印コネクタ 2">
          <a:extLst>
            <a:ext uri="{FF2B5EF4-FFF2-40B4-BE49-F238E27FC236}">
              <a16:creationId xmlns:a16="http://schemas.microsoft.com/office/drawing/2014/main" id="{7EA4E812-D952-4151-8040-F66AA4BF577C}"/>
            </a:ext>
          </a:extLst>
        </xdr:cNvPr>
        <xdr:cNvCxnSpPr/>
      </xdr:nvCxnSpPr>
      <xdr:spPr>
        <a:xfrm>
          <a:off x="1476375" y="2066925"/>
          <a:ext cx="0" cy="2857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1327150</xdr:colOff>
      <xdr:row>10</xdr:row>
      <xdr:rowOff>57150</xdr:rowOff>
    </xdr:from>
    <xdr:to>
      <xdr:col>1</xdr:col>
      <xdr:colOff>1327150</xdr:colOff>
      <xdr:row>11</xdr:row>
      <xdr:rowOff>38100</xdr:rowOff>
    </xdr:to>
    <xdr:cxnSp macro="">
      <xdr:nvCxnSpPr>
        <xdr:cNvPr id="4" name="直線矢印コネクタ 3">
          <a:extLst>
            <a:ext uri="{FF2B5EF4-FFF2-40B4-BE49-F238E27FC236}">
              <a16:creationId xmlns:a16="http://schemas.microsoft.com/office/drawing/2014/main" id="{DD07E6EE-16EE-426E-964B-0FB31E9E379B}"/>
            </a:ext>
          </a:extLst>
        </xdr:cNvPr>
        <xdr:cNvCxnSpPr/>
      </xdr:nvCxnSpPr>
      <xdr:spPr>
        <a:xfrm>
          <a:off x="1476375" y="2705100"/>
          <a:ext cx="0" cy="285750"/>
        </a:xfrm>
        <a:prstGeom prst="straightConnector1">
          <a:avLst/>
        </a:prstGeom>
        <a:ln>
          <a:prstDash val="sysDot"/>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146050</xdr:colOff>
      <xdr:row>8</xdr:row>
      <xdr:rowOff>82550</xdr:rowOff>
    </xdr:from>
    <xdr:to>
      <xdr:col>4</xdr:col>
      <xdr:colOff>266700</xdr:colOff>
      <xdr:row>10</xdr:row>
      <xdr:rowOff>69850</xdr:rowOff>
    </xdr:to>
    <xdr:cxnSp macro="">
      <xdr:nvCxnSpPr>
        <xdr:cNvPr id="5" name="直線矢印コネクタ 4">
          <a:extLst>
            <a:ext uri="{FF2B5EF4-FFF2-40B4-BE49-F238E27FC236}">
              <a16:creationId xmlns:a16="http://schemas.microsoft.com/office/drawing/2014/main" id="{B23D2365-6FB7-45BB-BEF1-BE303BC15713}"/>
            </a:ext>
          </a:extLst>
        </xdr:cNvPr>
        <xdr:cNvCxnSpPr/>
      </xdr:nvCxnSpPr>
      <xdr:spPr>
        <a:xfrm flipV="1">
          <a:off x="5124450" y="2124075"/>
          <a:ext cx="495300" cy="5905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787400</xdr:colOff>
      <xdr:row>8</xdr:row>
      <xdr:rowOff>25400</xdr:rowOff>
    </xdr:from>
    <xdr:to>
      <xdr:col>6</xdr:col>
      <xdr:colOff>787400</xdr:colOff>
      <xdr:row>8</xdr:row>
      <xdr:rowOff>285750</xdr:rowOff>
    </xdr:to>
    <xdr:cxnSp macro="">
      <xdr:nvCxnSpPr>
        <xdr:cNvPr id="6" name="直線矢印コネクタ 5">
          <a:extLst>
            <a:ext uri="{FF2B5EF4-FFF2-40B4-BE49-F238E27FC236}">
              <a16:creationId xmlns:a16="http://schemas.microsoft.com/office/drawing/2014/main" id="{314745B6-BA73-4ABA-A7A5-5749C41A044F}"/>
            </a:ext>
          </a:extLst>
        </xdr:cNvPr>
        <xdr:cNvCxnSpPr/>
      </xdr:nvCxnSpPr>
      <xdr:spPr>
        <a:xfrm>
          <a:off x="9686925" y="2066925"/>
          <a:ext cx="0" cy="257175"/>
        </a:xfrm>
        <a:prstGeom prst="straightConnector1">
          <a:avLst/>
        </a:prstGeom>
        <a:ln w="3492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1327150</xdr:colOff>
      <xdr:row>10</xdr:row>
      <xdr:rowOff>57150</xdr:rowOff>
    </xdr:from>
    <xdr:to>
      <xdr:col>5</xdr:col>
      <xdr:colOff>1327150</xdr:colOff>
      <xdr:row>11</xdr:row>
      <xdr:rowOff>38100</xdr:rowOff>
    </xdr:to>
    <xdr:cxnSp macro="">
      <xdr:nvCxnSpPr>
        <xdr:cNvPr id="7" name="直線矢印コネクタ 6">
          <a:extLst>
            <a:ext uri="{FF2B5EF4-FFF2-40B4-BE49-F238E27FC236}">
              <a16:creationId xmlns:a16="http://schemas.microsoft.com/office/drawing/2014/main" id="{7675A07A-0F88-4518-BA68-AFB4428FDA2B}"/>
            </a:ext>
          </a:extLst>
        </xdr:cNvPr>
        <xdr:cNvCxnSpPr/>
      </xdr:nvCxnSpPr>
      <xdr:spPr>
        <a:xfrm>
          <a:off x="7048500" y="2705100"/>
          <a:ext cx="0" cy="285750"/>
        </a:xfrm>
        <a:prstGeom prst="straightConnector1">
          <a:avLst/>
        </a:prstGeom>
        <a:ln>
          <a:prstDash val="sysDot"/>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1323975</xdr:colOff>
      <xdr:row>10</xdr:row>
      <xdr:rowOff>57150</xdr:rowOff>
    </xdr:from>
    <xdr:to>
      <xdr:col>5</xdr:col>
      <xdr:colOff>1323975</xdr:colOff>
      <xdr:row>11</xdr:row>
      <xdr:rowOff>38100</xdr:rowOff>
    </xdr:to>
    <xdr:cxnSp macro="">
      <xdr:nvCxnSpPr>
        <xdr:cNvPr id="8" name="直線矢印コネクタ 7">
          <a:extLst>
            <a:ext uri="{FF2B5EF4-FFF2-40B4-BE49-F238E27FC236}">
              <a16:creationId xmlns:a16="http://schemas.microsoft.com/office/drawing/2014/main" id="{7F421C45-BFD6-4C1A-8080-27DE06C4935B}"/>
            </a:ext>
          </a:extLst>
        </xdr:cNvPr>
        <xdr:cNvCxnSpPr/>
      </xdr:nvCxnSpPr>
      <xdr:spPr>
        <a:xfrm>
          <a:off x="7045325" y="2705100"/>
          <a:ext cx="0" cy="285750"/>
        </a:xfrm>
        <a:prstGeom prst="straightConnector1">
          <a:avLst/>
        </a:prstGeom>
        <a:ln>
          <a:prstDash val="sysDot"/>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1327150</xdr:colOff>
      <xdr:row>6</xdr:row>
      <xdr:rowOff>44450</xdr:rowOff>
    </xdr:from>
    <xdr:to>
      <xdr:col>1</xdr:col>
      <xdr:colOff>1327150</xdr:colOff>
      <xdr:row>7</xdr:row>
      <xdr:rowOff>25400</xdr:rowOff>
    </xdr:to>
    <xdr:cxnSp macro="">
      <xdr:nvCxnSpPr>
        <xdr:cNvPr id="3" name="直線矢印コネクタ 2">
          <a:extLst>
            <a:ext uri="{FF2B5EF4-FFF2-40B4-BE49-F238E27FC236}">
              <a16:creationId xmlns:a16="http://schemas.microsoft.com/office/drawing/2014/main" id="{E7BD0CA1-489B-A3C6-12E4-8807AE0E8ED1}"/>
            </a:ext>
          </a:extLst>
        </xdr:cNvPr>
        <xdr:cNvCxnSpPr/>
      </xdr:nvCxnSpPr>
      <xdr:spPr>
        <a:xfrm>
          <a:off x="1530350" y="1098550"/>
          <a:ext cx="0" cy="2857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1327150</xdr:colOff>
      <xdr:row>8</xdr:row>
      <xdr:rowOff>31750</xdr:rowOff>
    </xdr:from>
    <xdr:to>
      <xdr:col>1</xdr:col>
      <xdr:colOff>1327150</xdr:colOff>
      <xdr:row>9</xdr:row>
      <xdr:rowOff>12700</xdr:rowOff>
    </xdr:to>
    <xdr:cxnSp macro="">
      <xdr:nvCxnSpPr>
        <xdr:cNvPr id="9" name="直線矢印コネクタ 8">
          <a:extLst>
            <a:ext uri="{FF2B5EF4-FFF2-40B4-BE49-F238E27FC236}">
              <a16:creationId xmlns:a16="http://schemas.microsoft.com/office/drawing/2014/main" id="{F0C6E1BE-5E16-D7B6-FB1D-FDA9EAEBDF3D}"/>
            </a:ext>
          </a:extLst>
        </xdr:cNvPr>
        <xdr:cNvCxnSpPr/>
      </xdr:nvCxnSpPr>
      <xdr:spPr>
        <a:xfrm>
          <a:off x="1530350" y="1695450"/>
          <a:ext cx="0" cy="2857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1327150</xdr:colOff>
      <xdr:row>10</xdr:row>
      <xdr:rowOff>57150</xdr:rowOff>
    </xdr:from>
    <xdr:to>
      <xdr:col>1</xdr:col>
      <xdr:colOff>1327150</xdr:colOff>
      <xdr:row>11</xdr:row>
      <xdr:rowOff>38100</xdr:rowOff>
    </xdr:to>
    <xdr:cxnSp macro="">
      <xdr:nvCxnSpPr>
        <xdr:cNvPr id="10" name="直線矢印コネクタ 9">
          <a:extLst>
            <a:ext uri="{FF2B5EF4-FFF2-40B4-BE49-F238E27FC236}">
              <a16:creationId xmlns:a16="http://schemas.microsoft.com/office/drawing/2014/main" id="{5DD2306C-8079-6BD2-6193-D47E1DAB7A99}"/>
            </a:ext>
          </a:extLst>
        </xdr:cNvPr>
        <xdr:cNvCxnSpPr/>
      </xdr:nvCxnSpPr>
      <xdr:spPr>
        <a:xfrm>
          <a:off x="1530350" y="2330450"/>
          <a:ext cx="0" cy="285750"/>
        </a:xfrm>
        <a:prstGeom prst="straightConnector1">
          <a:avLst/>
        </a:prstGeom>
        <a:ln>
          <a:prstDash val="sysDot"/>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146050</xdr:colOff>
      <xdr:row>8</xdr:row>
      <xdr:rowOff>82550</xdr:rowOff>
    </xdr:from>
    <xdr:to>
      <xdr:col>4</xdr:col>
      <xdr:colOff>266700</xdr:colOff>
      <xdr:row>10</xdr:row>
      <xdr:rowOff>69850</xdr:rowOff>
    </xdr:to>
    <xdr:cxnSp macro="">
      <xdr:nvCxnSpPr>
        <xdr:cNvPr id="12" name="直線矢印コネクタ 11">
          <a:extLst>
            <a:ext uri="{FF2B5EF4-FFF2-40B4-BE49-F238E27FC236}">
              <a16:creationId xmlns:a16="http://schemas.microsoft.com/office/drawing/2014/main" id="{12E8177D-C77D-6B79-71CD-FE2E48315A35}"/>
            </a:ext>
          </a:extLst>
        </xdr:cNvPr>
        <xdr:cNvCxnSpPr/>
      </xdr:nvCxnSpPr>
      <xdr:spPr>
        <a:xfrm flipV="1">
          <a:off x="4654550" y="2108200"/>
          <a:ext cx="495300" cy="5969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787400</xdr:colOff>
      <xdr:row>8</xdr:row>
      <xdr:rowOff>25400</xdr:rowOff>
    </xdr:from>
    <xdr:to>
      <xdr:col>6</xdr:col>
      <xdr:colOff>787400</xdr:colOff>
      <xdr:row>8</xdr:row>
      <xdr:rowOff>285750</xdr:rowOff>
    </xdr:to>
    <xdr:cxnSp macro="">
      <xdr:nvCxnSpPr>
        <xdr:cNvPr id="19" name="直線矢印コネクタ 18">
          <a:extLst>
            <a:ext uri="{FF2B5EF4-FFF2-40B4-BE49-F238E27FC236}">
              <a16:creationId xmlns:a16="http://schemas.microsoft.com/office/drawing/2014/main" id="{FB24A00E-65D3-7C8F-DEDB-DDB81204E75F}"/>
            </a:ext>
          </a:extLst>
        </xdr:cNvPr>
        <xdr:cNvCxnSpPr/>
      </xdr:nvCxnSpPr>
      <xdr:spPr>
        <a:xfrm>
          <a:off x="8788400" y="2051050"/>
          <a:ext cx="0" cy="260350"/>
        </a:xfrm>
        <a:prstGeom prst="straightConnector1">
          <a:avLst/>
        </a:prstGeom>
        <a:ln w="3492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1327150</xdr:colOff>
      <xdr:row>10</xdr:row>
      <xdr:rowOff>57150</xdr:rowOff>
    </xdr:from>
    <xdr:to>
      <xdr:col>5</xdr:col>
      <xdr:colOff>1327150</xdr:colOff>
      <xdr:row>11</xdr:row>
      <xdr:rowOff>38100</xdr:rowOff>
    </xdr:to>
    <xdr:cxnSp macro="">
      <xdr:nvCxnSpPr>
        <xdr:cNvPr id="2" name="直線矢印コネクタ 1">
          <a:extLst>
            <a:ext uri="{FF2B5EF4-FFF2-40B4-BE49-F238E27FC236}">
              <a16:creationId xmlns:a16="http://schemas.microsoft.com/office/drawing/2014/main" id="{AC1B34D2-B796-4359-9780-D470E43B46CD}"/>
            </a:ext>
          </a:extLst>
        </xdr:cNvPr>
        <xdr:cNvCxnSpPr/>
      </xdr:nvCxnSpPr>
      <xdr:spPr>
        <a:xfrm>
          <a:off x="1479550" y="2692400"/>
          <a:ext cx="0" cy="285750"/>
        </a:xfrm>
        <a:prstGeom prst="straightConnector1">
          <a:avLst/>
        </a:prstGeom>
        <a:ln>
          <a:prstDash val="sysDot"/>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1323975</xdr:colOff>
      <xdr:row>10</xdr:row>
      <xdr:rowOff>57150</xdr:rowOff>
    </xdr:from>
    <xdr:to>
      <xdr:col>5</xdr:col>
      <xdr:colOff>1323975</xdr:colOff>
      <xdr:row>11</xdr:row>
      <xdr:rowOff>38100</xdr:rowOff>
    </xdr:to>
    <xdr:cxnSp macro="">
      <xdr:nvCxnSpPr>
        <xdr:cNvPr id="4" name="直線矢印コネクタ 3">
          <a:extLst>
            <a:ext uri="{FF2B5EF4-FFF2-40B4-BE49-F238E27FC236}">
              <a16:creationId xmlns:a16="http://schemas.microsoft.com/office/drawing/2014/main" id="{21507875-49F5-420D-A4AD-6988CBAC029F}"/>
            </a:ext>
          </a:extLst>
        </xdr:cNvPr>
        <xdr:cNvCxnSpPr/>
      </xdr:nvCxnSpPr>
      <xdr:spPr>
        <a:xfrm>
          <a:off x="7054850" y="2692400"/>
          <a:ext cx="0" cy="285750"/>
        </a:xfrm>
        <a:prstGeom prst="straightConnector1">
          <a:avLst/>
        </a:prstGeom>
        <a:ln>
          <a:prstDash val="sysDot"/>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1327150</xdr:colOff>
      <xdr:row>6</xdr:row>
      <xdr:rowOff>44450</xdr:rowOff>
    </xdr:from>
    <xdr:to>
      <xdr:col>1</xdr:col>
      <xdr:colOff>1327150</xdr:colOff>
      <xdr:row>7</xdr:row>
      <xdr:rowOff>25400</xdr:rowOff>
    </xdr:to>
    <xdr:cxnSp macro="">
      <xdr:nvCxnSpPr>
        <xdr:cNvPr id="2" name="直線矢印コネクタ 1">
          <a:extLst>
            <a:ext uri="{FF2B5EF4-FFF2-40B4-BE49-F238E27FC236}">
              <a16:creationId xmlns:a16="http://schemas.microsoft.com/office/drawing/2014/main" id="{B87DC722-5886-46DE-8848-1EFAC7BE731E}"/>
            </a:ext>
          </a:extLst>
        </xdr:cNvPr>
        <xdr:cNvCxnSpPr/>
      </xdr:nvCxnSpPr>
      <xdr:spPr>
        <a:xfrm>
          <a:off x="1476375" y="1476375"/>
          <a:ext cx="0" cy="2857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1327150</xdr:colOff>
      <xdr:row>8</xdr:row>
      <xdr:rowOff>31750</xdr:rowOff>
    </xdr:from>
    <xdr:to>
      <xdr:col>1</xdr:col>
      <xdr:colOff>1327150</xdr:colOff>
      <xdr:row>9</xdr:row>
      <xdr:rowOff>12700</xdr:rowOff>
    </xdr:to>
    <xdr:cxnSp macro="">
      <xdr:nvCxnSpPr>
        <xdr:cNvPr id="3" name="直線矢印コネクタ 2">
          <a:extLst>
            <a:ext uri="{FF2B5EF4-FFF2-40B4-BE49-F238E27FC236}">
              <a16:creationId xmlns:a16="http://schemas.microsoft.com/office/drawing/2014/main" id="{6DD976FB-309F-4894-B4F8-DA652B3243CB}"/>
            </a:ext>
          </a:extLst>
        </xdr:cNvPr>
        <xdr:cNvCxnSpPr/>
      </xdr:nvCxnSpPr>
      <xdr:spPr>
        <a:xfrm>
          <a:off x="1476375" y="2066925"/>
          <a:ext cx="0" cy="2857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1327150</xdr:colOff>
      <xdr:row>10</xdr:row>
      <xdr:rowOff>57150</xdr:rowOff>
    </xdr:from>
    <xdr:to>
      <xdr:col>1</xdr:col>
      <xdr:colOff>1327150</xdr:colOff>
      <xdr:row>11</xdr:row>
      <xdr:rowOff>38100</xdr:rowOff>
    </xdr:to>
    <xdr:cxnSp macro="">
      <xdr:nvCxnSpPr>
        <xdr:cNvPr id="4" name="直線矢印コネクタ 3">
          <a:extLst>
            <a:ext uri="{FF2B5EF4-FFF2-40B4-BE49-F238E27FC236}">
              <a16:creationId xmlns:a16="http://schemas.microsoft.com/office/drawing/2014/main" id="{FA95C937-4DF0-4ECC-BF8C-19BF8413FF4E}"/>
            </a:ext>
          </a:extLst>
        </xdr:cNvPr>
        <xdr:cNvCxnSpPr/>
      </xdr:nvCxnSpPr>
      <xdr:spPr>
        <a:xfrm>
          <a:off x="1476375" y="2705100"/>
          <a:ext cx="0" cy="285750"/>
        </a:xfrm>
        <a:prstGeom prst="straightConnector1">
          <a:avLst/>
        </a:prstGeom>
        <a:ln>
          <a:prstDash val="sysDot"/>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146050</xdr:colOff>
      <xdr:row>8</xdr:row>
      <xdr:rowOff>82550</xdr:rowOff>
    </xdr:from>
    <xdr:to>
      <xdr:col>4</xdr:col>
      <xdr:colOff>266700</xdr:colOff>
      <xdr:row>10</xdr:row>
      <xdr:rowOff>69850</xdr:rowOff>
    </xdr:to>
    <xdr:cxnSp macro="">
      <xdr:nvCxnSpPr>
        <xdr:cNvPr id="5" name="直線矢印コネクタ 4">
          <a:extLst>
            <a:ext uri="{FF2B5EF4-FFF2-40B4-BE49-F238E27FC236}">
              <a16:creationId xmlns:a16="http://schemas.microsoft.com/office/drawing/2014/main" id="{DA34C4D0-FCDB-42CA-B7B4-C90E030E7119}"/>
            </a:ext>
          </a:extLst>
        </xdr:cNvPr>
        <xdr:cNvCxnSpPr/>
      </xdr:nvCxnSpPr>
      <xdr:spPr>
        <a:xfrm flipV="1">
          <a:off x="5124450" y="2124075"/>
          <a:ext cx="495300" cy="5905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787400</xdr:colOff>
      <xdr:row>8</xdr:row>
      <xdr:rowOff>25400</xdr:rowOff>
    </xdr:from>
    <xdr:to>
      <xdr:col>6</xdr:col>
      <xdr:colOff>787400</xdr:colOff>
      <xdr:row>8</xdr:row>
      <xdr:rowOff>285750</xdr:rowOff>
    </xdr:to>
    <xdr:cxnSp macro="">
      <xdr:nvCxnSpPr>
        <xdr:cNvPr id="6" name="直線矢印コネクタ 5">
          <a:extLst>
            <a:ext uri="{FF2B5EF4-FFF2-40B4-BE49-F238E27FC236}">
              <a16:creationId xmlns:a16="http://schemas.microsoft.com/office/drawing/2014/main" id="{165184E0-3A51-415B-A301-26C00218D294}"/>
            </a:ext>
          </a:extLst>
        </xdr:cNvPr>
        <xdr:cNvCxnSpPr/>
      </xdr:nvCxnSpPr>
      <xdr:spPr>
        <a:xfrm>
          <a:off x="9686925" y="2066925"/>
          <a:ext cx="0" cy="257175"/>
        </a:xfrm>
        <a:prstGeom prst="straightConnector1">
          <a:avLst/>
        </a:prstGeom>
        <a:ln w="3492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1327150</xdr:colOff>
      <xdr:row>10</xdr:row>
      <xdr:rowOff>57150</xdr:rowOff>
    </xdr:from>
    <xdr:to>
      <xdr:col>5</xdr:col>
      <xdr:colOff>1327150</xdr:colOff>
      <xdr:row>11</xdr:row>
      <xdr:rowOff>38100</xdr:rowOff>
    </xdr:to>
    <xdr:cxnSp macro="">
      <xdr:nvCxnSpPr>
        <xdr:cNvPr id="7" name="直線矢印コネクタ 6">
          <a:extLst>
            <a:ext uri="{FF2B5EF4-FFF2-40B4-BE49-F238E27FC236}">
              <a16:creationId xmlns:a16="http://schemas.microsoft.com/office/drawing/2014/main" id="{FE4AD731-33FB-46D3-A42C-79B6940C087D}"/>
            </a:ext>
          </a:extLst>
        </xdr:cNvPr>
        <xdr:cNvCxnSpPr/>
      </xdr:nvCxnSpPr>
      <xdr:spPr>
        <a:xfrm>
          <a:off x="7048500" y="2705100"/>
          <a:ext cx="0" cy="285750"/>
        </a:xfrm>
        <a:prstGeom prst="straightConnector1">
          <a:avLst/>
        </a:prstGeom>
        <a:ln>
          <a:prstDash val="sysDot"/>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1323975</xdr:colOff>
      <xdr:row>10</xdr:row>
      <xdr:rowOff>57150</xdr:rowOff>
    </xdr:from>
    <xdr:to>
      <xdr:col>5</xdr:col>
      <xdr:colOff>1323975</xdr:colOff>
      <xdr:row>11</xdr:row>
      <xdr:rowOff>38100</xdr:rowOff>
    </xdr:to>
    <xdr:cxnSp macro="">
      <xdr:nvCxnSpPr>
        <xdr:cNvPr id="8" name="直線矢印コネクタ 7">
          <a:extLst>
            <a:ext uri="{FF2B5EF4-FFF2-40B4-BE49-F238E27FC236}">
              <a16:creationId xmlns:a16="http://schemas.microsoft.com/office/drawing/2014/main" id="{9DE43D3D-F531-4CC0-91B1-30B1842FFD0F}"/>
            </a:ext>
          </a:extLst>
        </xdr:cNvPr>
        <xdr:cNvCxnSpPr/>
      </xdr:nvCxnSpPr>
      <xdr:spPr>
        <a:xfrm>
          <a:off x="7045325" y="2705100"/>
          <a:ext cx="0" cy="285750"/>
        </a:xfrm>
        <a:prstGeom prst="straightConnector1">
          <a:avLst/>
        </a:prstGeom>
        <a:ln>
          <a:prstDash val="sysDot"/>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1327150</xdr:colOff>
      <xdr:row>6</xdr:row>
      <xdr:rowOff>44450</xdr:rowOff>
    </xdr:from>
    <xdr:to>
      <xdr:col>1</xdr:col>
      <xdr:colOff>1327150</xdr:colOff>
      <xdr:row>7</xdr:row>
      <xdr:rowOff>25400</xdr:rowOff>
    </xdr:to>
    <xdr:cxnSp macro="">
      <xdr:nvCxnSpPr>
        <xdr:cNvPr id="9" name="直線矢印コネクタ 8">
          <a:extLst>
            <a:ext uri="{FF2B5EF4-FFF2-40B4-BE49-F238E27FC236}">
              <a16:creationId xmlns:a16="http://schemas.microsoft.com/office/drawing/2014/main" id="{47776670-6903-4EF5-82E3-11409DE2D244}"/>
            </a:ext>
          </a:extLst>
        </xdr:cNvPr>
        <xdr:cNvCxnSpPr/>
      </xdr:nvCxnSpPr>
      <xdr:spPr>
        <a:xfrm>
          <a:off x="1476375" y="1571625"/>
          <a:ext cx="0" cy="2857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1327150</xdr:colOff>
      <xdr:row>8</xdr:row>
      <xdr:rowOff>31750</xdr:rowOff>
    </xdr:from>
    <xdr:to>
      <xdr:col>1</xdr:col>
      <xdr:colOff>1327150</xdr:colOff>
      <xdr:row>9</xdr:row>
      <xdr:rowOff>12700</xdr:rowOff>
    </xdr:to>
    <xdr:cxnSp macro="">
      <xdr:nvCxnSpPr>
        <xdr:cNvPr id="10" name="直線矢印コネクタ 9">
          <a:extLst>
            <a:ext uri="{FF2B5EF4-FFF2-40B4-BE49-F238E27FC236}">
              <a16:creationId xmlns:a16="http://schemas.microsoft.com/office/drawing/2014/main" id="{59D6949D-2408-4506-B31A-6047805AE6F6}"/>
            </a:ext>
          </a:extLst>
        </xdr:cNvPr>
        <xdr:cNvCxnSpPr/>
      </xdr:nvCxnSpPr>
      <xdr:spPr>
        <a:xfrm>
          <a:off x="1476375" y="2238375"/>
          <a:ext cx="0" cy="2857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1327150</xdr:colOff>
      <xdr:row>10</xdr:row>
      <xdr:rowOff>57150</xdr:rowOff>
    </xdr:from>
    <xdr:to>
      <xdr:col>1</xdr:col>
      <xdr:colOff>1327150</xdr:colOff>
      <xdr:row>11</xdr:row>
      <xdr:rowOff>38100</xdr:rowOff>
    </xdr:to>
    <xdr:cxnSp macro="">
      <xdr:nvCxnSpPr>
        <xdr:cNvPr id="11" name="直線矢印コネクタ 10">
          <a:extLst>
            <a:ext uri="{FF2B5EF4-FFF2-40B4-BE49-F238E27FC236}">
              <a16:creationId xmlns:a16="http://schemas.microsoft.com/office/drawing/2014/main" id="{00FD6B38-683F-4A98-8AD1-CCB5B1847B22}"/>
            </a:ext>
          </a:extLst>
        </xdr:cNvPr>
        <xdr:cNvCxnSpPr/>
      </xdr:nvCxnSpPr>
      <xdr:spPr>
        <a:xfrm>
          <a:off x="1476375" y="2990850"/>
          <a:ext cx="0" cy="285750"/>
        </a:xfrm>
        <a:prstGeom prst="straightConnector1">
          <a:avLst/>
        </a:prstGeom>
        <a:ln>
          <a:prstDash val="sysDot"/>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1327150</xdr:colOff>
      <xdr:row>7</xdr:row>
      <xdr:rowOff>31750</xdr:rowOff>
    </xdr:from>
    <xdr:to>
      <xdr:col>1</xdr:col>
      <xdr:colOff>1327150</xdr:colOff>
      <xdr:row>8</xdr:row>
      <xdr:rowOff>12700</xdr:rowOff>
    </xdr:to>
    <xdr:cxnSp macro="">
      <xdr:nvCxnSpPr>
        <xdr:cNvPr id="3" name="直線矢印コネクタ 2">
          <a:extLst>
            <a:ext uri="{FF2B5EF4-FFF2-40B4-BE49-F238E27FC236}">
              <a16:creationId xmlns:a16="http://schemas.microsoft.com/office/drawing/2014/main" id="{5E7FB251-DEC2-43B4-B480-87E747B58F60}"/>
            </a:ext>
          </a:extLst>
        </xdr:cNvPr>
        <xdr:cNvCxnSpPr/>
      </xdr:nvCxnSpPr>
      <xdr:spPr>
        <a:xfrm>
          <a:off x="1479550" y="2057400"/>
          <a:ext cx="0" cy="2857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1327150</xdr:colOff>
      <xdr:row>9</xdr:row>
      <xdr:rowOff>57150</xdr:rowOff>
    </xdr:from>
    <xdr:to>
      <xdr:col>1</xdr:col>
      <xdr:colOff>1327150</xdr:colOff>
      <xdr:row>10</xdr:row>
      <xdr:rowOff>38100</xdr:rowOff>
    </xdr:to>
    <xdr:cxnSp macro="">
      <xdr:nvCxnSpPr>
        <xdr:cNvPr id="4" name="直線矢印コネクタ 3">
          <a:extLst>
            <a:ext uri="{FF2B5EF4-FFF2-40B4-BE49-F238E27FC236}">
              <a16:creationId xmlns:a16="http://schemas.microsoft.com/office/drawing/2014/main" id="{370F05DD-39C0-497C-B09A-3160CF53EF04}"/>
            </a:ext>
          </a:extLst>
        </xdr:cNvPr>
        <xdr:cNvCxnSpPr/>
      </xdr:nvCxnSpPr>
      <xdr:spPr>
        <a:xfrm>
          <a:off x="1479550" y="2692400"/>
          <a:ext cx="0" cy="285750"/>
        </a:xfrm>
        <a:prstGeom prst="straightConnector1">
          <a:avLst/>
        </a:prstGeom>
        <a:ln>
          <a:prstDash val="sysDot"/>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146050</xdr:colOff>
      <xdr:row>7</xdr:row>
      <xdr:rowOff>82550</xdr:rowOff>
    </xdr:from>
    <xdr:to>
      <xdr:col>4</xdr:col>
      <xdr:colOff>266700</xdr:colOff>
      <xdr:row>9</xdr:row>
      <xdr:rowOff>69850</xdr:rowOff>
    </xdr:to>
    <xdr:cxnSp macro="">
      <xdr:nvCxnSpPr>
        <xdr:cNvPr id="5" name="直線矢印コネクタ 4">
          <a:extLst>
            <a:ext uri="{FF2B5EF4-FFF2-40B4-BE49-F238E27FC236}">
              <a16:creationId xmlns:a16="http://schemas.microsoft.com/office/drawing/2014/main" id="{BF7B6DFE-C1E6-48B3-9B31-E2F9001410DF}"/>
            </a:ext>
          </a:extLst>
        </xdr:cNvPr>
        <xdr:cNvCxnSpPr/>
      </xdr:nvCxnSpPr>
      <xdr:spPr>
        <a:xfrm flipV="1">
          <a:off x="5124450" y="2108200"/>
          <a:ext cx="495300" cy="5969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787400</xdr:colOff>
      <xdr:row>7</xdr:row>
      <xdr:rowOff>25400</xdr:rowOff>
    </xdr:from>
    <xdr:to>
      <xdr:col>6</xdr:col>
      <xdr:colOff>787400</xdr:colOff>
      <xdr:row>7</xdr:row>
      <xdr:rowOff>285750</xdr:rowOff>
    </xdr:to>
    <xdr:cxnSp macro="">
      <xdr:nvCxnSpPr>
        <xdr:cNvPr id="6" name="直線矢印コネクタ 5">
          <a:extLst>
            <a:ext uri="{FF2B5EF4-FFF2-40B4-BE49-F238E27FC236}">
              <a16:creationId xmlns:a16="http://schemas.microsoft.com/office/drawing/2014/main" id="{3347D346-544C-474C-B416-AE425F519231}"/>
            </a:ext>
          </a:extLst>
        </xdr:cNvPr>
        <xdr:cNvCxnSpPr/>
      </xdr:nvCxnSpPr>
      <xdr:spPr>
        <a:xfrm>
          <a:off x="9683750" y="2051050"/>
          <a:ext cx="0" cy="260350"/>
        </a:xfrm>
        <a:prstGeom prst="straightConnector1">
          <a:avLst/>
        </a:prstGeom>
        <a:ln w="3492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1327150</xdr:colOff>
      <xdr:row>9</xdr:row>
      <xdr:rowOff>57150</xdr:rowOff>
    </xdr:from>
    <xdr:to>
      <xdr:col>5</xdr:col>
      <xdr:colOff>1327150</xdr:colOff>
      <xdr:row>10</xdr:row>
      <xdr:rowOff>38100</xdr:rowOff>
    </xdr:to>
    <xdr:cxnSp macro="">
      <xdr:nvCxnSpPr>
        <xdr:cNvPr id="7" name="直線矢印コネクタ 6">
          <a:extLst>
            <a:ext uri="{FF2B5EF4-FFF2-40B4-BE49-F238E27FC236}">
              <a16:creationId xmlns:a16="http://schemas.microsoft.com/office/drawing/2014/main" id="{F977CCBC-26D7-47E1-842E-F71C948981BA}"/>
            </a:ext>
          </a:extLst>
        </xdr:cNvPr>
        <xdr:cNvCxnSpPr/>
      </xdr:nvCxnSpPr>
      <xdr:spPr>
        <a:xfrm>
          <a:off x="7054850" y="2692400"/>
          <a:ext cx="0" cy="285750"/>
        </a:xfrm>
        <a:prstGeom prst="straightConnector1">
          <a:avLst/>
        </a:prstGeom>
        <a:ln>
          <a:prstDash val="sysDot"/>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1323975</xdr:colOff>
      <xdr:row>9</xdr:row>
      <xdr:rowOff>57150</xdr:rowOff>
    </xdr:from>
    <xdr:to>
      <xdr:col>5</xdr:col>
      <xdr:colOff>1323975</xdr:colOff>
      <xdr:row>10</xdr:row>
      <xdr:rowOff>38100</xdr:rowOff>
    </xdr:to>
    <xdr:cxnSp macro="">
      <xdr:nvCxnSpPr>
        <xdr:cNvPr id="2" name="直線矢印コネクタ 1">
          <a:extLst>
            <a:ext uri="{FF2B5EF4-FFF2-40B4-BE49-F238E27FC236}">
              <a16:creationId xmlns:a16="http://schemas.microsoft.com/office/drawing/2014/main" id="{ADFB8EEB-0542-4BA2-A5BC-6F5113505CD1}"/>
            </a:ext>
          </a:extLst>
        </xdr:cNvPr>
        <xdr:cNvCxnSpPr/>
      </xdr:nvCxnSpPr>
      <xdr:spPr>
        <a:xfrm>
          <a:off x="7054850" y="2692400"/>
          <a:ext cx="0" cy="285750"/>
        </a:xfrm>
        <a:prstGeom prst="straightConnector1">
          <a:avLst/>
        </a:prstGeom>
        <a:ln>
          <a:prstDash val="sysDot"/>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1327150</xdr:colOff>
      <xdr:row>7</xdr:row>
      <xdr:rowOff>31750</xdr:rowOff>
    </xdr:from>
    <xdr:to>
      <xdr:col>1</xdr:col>
      <xdr:colOff>1327150</xdr:colOff>
      <xdr:row>8</xdr:row>
      <xdr:rowOff>12700</xdr:rowOff>
    </xdr:to>
    <xdr:cxnSp macro="">
      <xdr:nvCxnSpPr>
        <xdr:cNvPr id="10" name="直線矢印コネクタ 9">
          <a:extLst>
            <a:ext uri="{FF2B5EF4-FFF2-40B4-BE49-F238E27FC236}">
              <a16:creationId xmlns:a16="http://schemas.microsoft.com/office/drawing/2014/main" id="{828B8FB9-F437-44F1-87A2-AAB3D1C6FAB8}"/>
            </a:ext>
          </a:extLst>
        </xdr:cNvPr>
        <xdr:cNvCxnSpPr/>
      </xdr:nvCxnSpPr>
      <xdr:spPr>
        <a:xfrm>
          <a:off x="1479550" y="2057400"/>
          <a:ext cx="0" cy="2857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1327150</xdr:colOff>
      <xdr:row>7</xdr:row>
      <xdr:rowOff>31750</xdr:rowOff>
    </xdr:from>
    <xdr:to>
      <xdr:col>1</xdr:col>
      <xdr:colOff>1327150</xdr:colOff>
      <xdr:row>8</xdr:row>
      <xdr:rowOff>12700</xdr:rowOff>
    </xdr:to>
    <xdr:cxnSp macro="">
      <xdr:nvCxnSpPr>
        <xdr:cNvPr id="2" name="直線矢印コネクタ 1">
          <a:extLst>
            <a:ext uri="{FF2B5EF4-FFF2-40B4-BE49-F238E27FC236}">
              <a16:creationId xmlns:a16="http://schemas.microsoft.com/office/drawing/2014/main" id="{35209C40-BEB0-4C3B-972F-42C2D15E73A9}"/>
            </a:ext>
          </a:extLst>
        </xdr:cNvPr>
        <xdr:cNvCxnSpPr/>
      </xdr:nvCxnSpPr>
      <xdr:spPr>
        <a:xfrm>
          <a:off x="1476375" y="1619250"/>
          <a:ext cx="0" cy="2857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1327150</xdr:colOff>
      <xdr:row>9</xdr:row>
      <xdr:rowOff>25400</xdr:rowOff>
    </xdr:from>
    <xdr:to>
      <xdr:col>1</xdr:col>
      <xdr:colOff>1327150</xdr:colOff>
      <xdr:row>10</xdr:row>
      <xdr:rowOff>6350</xdr:rowOff>
    </xdr:to>
    <xdr:cxnSp macro="">
      <xdr:nvCxnSpPr>
        <xdr:cNvPr id="3" name="直線矢印コネクタ 2">
          <a:extLst>
            <a:ext uri="{FF2B5EF4-FFF2-40B4-BE49-F238E27FC236}">
              <a16:creationId xmlns:a16="http://schemas.microsoft.com/office/drawing/2014/main" id="{A46FB807-18E2-441C-9454-5D09C9B34565}"/>
            </a:ext>
          </a:extLst>
        </xdr:cNvPr>
        <xdr:cNvCxnSpPr/>
      </xdr:nvCxnSpPr>
      <xdr:spPr>
        <a:xfrm>
          <a:off x="1479550" y="2305050"/>
          <a:ext cx="0" cy="285750"/>
        </a:xfrm>
        <a:prstGeom prst="straightConnector1">
          <a:avLst/>
        </a:prstGeom>
        <a:ln>
          <a:prstDash val="sysDot"/>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146050</xdr:colOff>
      <xdr:row>7</xdr:row>
      <xdr:rowOff>82550</xdr:rowOff>
    </xdr:from>
    <xdr:to>
      <xdr:col>4</xdr:col>
      <xdr:colOff>266700</xdr:colOff>
      <xdr:row>9</xdr:row>
      <xdr:rowOff>69850</xdr:rowOff>
    </xdr:to>
    <xdr:cxnSp macro="">
      <xdr:nvCxnSpPr>
        <xdr:cNvPr id="4" name="直線矢印コネクタ 3">
          <a:extLst>
            <a:ext uri="{FF2B5EF4-FFF2-40B4-BE49-F238E27FC236}">
              <a16:creationId xmlns:a16="http://schemas.microsoft.com/office/drawing/2014/main" id="{39026B87-59C4-4833-9234-B02B7ABA2A84}"/>
            </a:ext>
          </a:extLst>
        </xdr:cNvPr>
        <xdr:cNvCxnSpPr/>
      </xdr:nvCxnSpPr>
      <xdr:spPr>
        <a:xfrm flipV="1">
          <a:off x="5124450" y="1676400"/>
          <a:ext cx="495300" cy="5905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787400</xdr:colOff>
      <xdr:row>7</xdr:row>
      <xdr:rowOff>25400</xdr:rowOff>
    </xdr:from>
    <xdr:to>
      <xdr:col>6</xdr:col>
      <xdr:colOff>787400</xdr:colOff>
      <xdr:row>7</xdr:row>
      <xdr:rowOff>285750</xdr:rowOff>
    </xdr:to>
    <xdr:cxnSp macro="">
      <xdr:nvCxnSpPr>
        <xdr:cNvPr id="5" name="直線矢印コネクタ 4">
          <a:extLst>
            <a:ext uri="{FF2B5EF4-FFF2-40B4-BE49-F238E27FC236}">
              <a16:creationId xmlns:a16="http://schemas.microsoft.com/office/drawing/2014/main" id="{EA7E5024-1124-4750-BC63-D28C2DC6104E}"/>
            </a:ext>
          </a:extLst>
        </xdr:cNvPr>
        <xdr:cNvCxnSpPr/>
      </xdr:nvCxnSpPr>
      <xdr:spPr>
        <a:xfrm>
          <a:off x="9686925" y="1619250"/>
          <a:ext cx="0" cy="257175"/>
        </a:xfrm>
        <a:prstGeom prst="straightConnector1">
          <a:avLst/>
        </a:prstGeom>
        <a:ln w="3492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1327150</xdr:colOff>
      <xdr:row>9</xdr:row>
      <xdr:rowOff>19050</xdr:rowOff>
    </xdr:from>
    <xdr:to>
      <xdr:col>5</xdr:col>
      <xdr:colOff>1327150</xdr:colOff>
      <xdr:row>10</xdr:row>
      <xdr:rowOff>0</xdr:rowOff>
    </xdr:to>
    <xdr:cxnSp macro="">
      <xdr:nvCxnSpPr>
        <xdr:cNvPr id="6" name="直線矢印コネクタ 5">
          <a:extLst>
            <a:ext uri="{FF2B5EF4-FFF2-40B4-BE49-F238E27FC236}">
              <a16:creationId xmlns:a16="http://schemas.microsoft.com/office/drawing/2014/main" id="{83192684-5F3D-475D-9AC3-7A80D77CCB5A}"/>
            </a:ext>
          </a:extLst>
        </xdr:cNvPr>
        <xdr:cNvCxnSpPr/>
      </xdr:nvCxnSpPr>
      <xdr:spPr>
        <a:xfrm>
          <a:off x="7054850" y="2298700"/>
          <a:ext cx="0" cy="285750"/>
        </a:xfrm>
        <a:prstGeom prst="straightConnector1">
          <a:avLst/>
        </a:prstGeom>
        <a:ln>
          <a:prstDash val="sysDot"/>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148852</xdr:colOff>
      <xdr:row>51</xdr:row>
      <xdr:rowOff>16250</xdr:rowOff>
    </xdr:from>
    <xdr:to>
      <xdr:col>39</xdr:col>
      <xdr:colOff>630517</xdr:colOff>
      <xdr:row>59</xdr:row>
      <xdr:rowOff>78256</xdr:rowOff>
    </xdr:to>
    <xdr:sp macro="" textlink="">
      <xdr:nvSpPr>
        <xdr:cNvPr id="2" name="正方形/長方形 1">
          <a:extLst>
            <a:ext uri="{FF2B5EF4-FFF2-40B4-BE49-F238E27FC236}">
              <a16:creationId xmlns:a16="http://schemas.microsoft.com/office/drawing/2014/main" id="{A69F803B-768D-425A-965F-38A2AD172709}"/>
            </a:ext>
          </a:extLst>
        </xdr:cNvPr>
        <xdr:cNvSpPr/>
      </xdr:nvSpPr>
      <xdr:spPr>
        <a:xfrm>
          <a:off x="145677" y="8648700"/>
          <a:ext cx="24449740" cy="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年俸制については”年俸制テーブル”シートを参照</a:t>
          </a:r>
          <a:endParaRPr kumimoji="1" lang="en-US" altLang="ja-JP" sz="1100"/>
        </a:p>
        <a:p>
          <a:pPr algn="l"/>
          <a:endParaRPr kumimoji="1" lang="en-US" altLang="ja-JP" sz="1100"/>
        </a:p>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1</xdr:row>
      <xdr:rowOff>34399</xdr:rowOff>
    </xdr:from>
    <xdr:to>
      <xdr:col>21</xdr:col>
      <xdr:colOff>440620</xdr:colOff>
      <xdr:row>45</xdr:row>
      <xdr:rowOff>156967</xdr:rowOff>
    </xdr:to>
    <xdr:pic>
      <xdr:nvPicPr>
        <xdr:cNvPr id="2" name="図 1">
          <a:extLst>
            <a:ext uri="{FF2B5EF4-FFF2-40B4-BE49-F238E27FC236}">
              <a16:creationId xmlns:a16="http://schemas.microsoft.com/office/drawing/2014/main" id="{C0045324-9AFD-1322-70E5-0711FEBD5EB9}"/>
            </a:ext>
          </a:extLst>
        </xdr:cNvPr>
        <xdr:cNvPicPr>
          <a:picLocks noChangeAspect="1"/>
        </xdr:cNvPicPr>
      </xdr:nvPicPr>
      <xdr:blipFill>
        <a:blip xmlns:r="http://schemas.openxmlformats.org/officeDocument/2006/relationships" r:embed="rId1"/>
        <a:stretch>
          <a:fillRect/>
        </a:stretch>
      </xdr:blipFill>
      <xdr:spPr>
        <a:xfrm>
          <a:off x="133350" y="199499"/>
          <a:ext cx="13108870" cy="7386968"/>
        </a:xfrm>
        <a:prstGeom prst="rect">
          <a:avLst/>
        </a:prstGeom>
      </xdr:spPr>
    </xdr:pic>
    <xdr:clientData/>
  </xdr:twoCellAnchor>
  <xdr:twoCellAnchor editAs="oneCell">
    <xdr:from>
      <xdr:col>0</xdr:col>
      <xdr:colOff>409575</xdr:colOff>
      <xdr:row>48</xdr:row>
      <xdr:rowOff>15875</xdr:rowOff>
    </xdr:from>
    <xdr:to>
      <xdr:col>23</xdr:col>
      <xdr:colOff>117361</xdr:colOff>
      <xdr:row>92</xdr:row>
      <xdr:rowOff>160069</xdr:rowOff>
    </xdr:to>
    <xdr:pic>
      <xdr:nvPicPr>
        <xdr:cNvPr id="3" name="図 2">
          <a:extLst>
            <a:ext uri="{FF2B5EF4-FFF2-40B4-BE49-F238E27FC236}">
              <a16:creationId xmlns:a16="http://schemas.microsoft.com/office/drawing/2014/main" id="{209F5213-E3C8-AD58-CB5B-10FC744D937C}"/>
            </a:ext>
          </a:extLst>
        </xdr:cNvPr>
        <xdr:cNvPicPr>
          <a:picLocks noChangeAspect="1"/>
        </xdr:cNvPicPr>
      </xdr:nvPicPr>
      <xdr:blipFill>
        <a:blip xmlns:r="http://schemas.openxmlformats.org/officeDocument/2006/relationships" r:embed="rId2"/>
        <a:stretch>
          <a:fillRect/>
        </a:stretch>
      </xdr:blipFill>
      <xdr:spPr>
        <a:xfrm>
          <a:off x="409575" y="7788275"/>
          <a:ext cx="13728586" cy="7268894"/>
        </a:xfrm>
        <a:prstGeom prst="rect">
          <a:avLst/>
        </a:prstGeom>
      </xdr:spPr>
    </xdr:pic>
    <xdr:clientData/>
  </xdr:twoCellAnchor>
  <xdr:twoCellAnchor editAs="oneCell">
    <xdr:from>
      <xdr:col>1</xdr:col>
      <xdr:colOff>320675</xdr:colOff>
      <xdr:row>94</xdr:row>
      <xdr:rowOff>153300</xdr:rowOff>
    </xdr:from>
    <xdr:to>
      <xdr:col>22</xdr:col>
      <xdr:colOff>227990</xdr:colOff>
      <xdr:row>139</xdr:row>
      <xdr:rowOff>10967</xdr:rowOff>
    </xdr:to>
    <xdr:pic>
      <xdr:nvPicPr>
        <xdr:cNvPr id="4" name="図 3">
          <a:extLst>
            <a:ext uri="{FF2B5EF4-FFF2-40B4-BE49-F238E27FC236}">
              <a16:creationId xmlns:a16="http://schemas.microsoft.com/office/drawing/2014/main" id="{724B4D05-63AB-0341-FBEE-BE1153BCCB0B}"/>
            </a:ext>
          </a:extLst>
        </xdr:cNvPr>
        <xdr:cNvPicPr>
          <a:picLocks noChangeAspect="1"/>
        </xdr:cNvPicPr>
      </xdr:nvPicPr>
      <xdr:blipFill>
        <a:blip xmlns:r="http://schemas.openxmlformats.org/officeDocument/2006/relationships" r:embed="rId3"/>
        <a:stretch>
          <a:fillRect/>
        </a:stretch>
      </xdr:blipFill>
      <xdr:spPr>
        <a:xfrm>
          <a:off x="930275" y="15374250"/>
          <a:ext cx="12708915" cy="7144292"/>
        </a:xfrm>
        <a:prstGeom prst="rect">
          <a:avLst/>
        </a:prstGeom>
      </xdr:spPr>
    </xdr:pic>
    <xdr:clientData/>
  </xdr:twoCellAnchor>
  <xdr:twoCellAnchor>
    <xdr:from>
      <xdr:col>1</xdr:col>
      <xdr:colOff>558800</xdr:colOff>
      <xdr:row>103</xdr:row>
      <xdr:rowOff>9525</xdr:rowOff>
    </xdr:from>
    <xdr:to>
      <xdr:col>10</xdr:col>
      <xdr:colOff>596900</xdr:colOff>
      <xdr:row>128</xdr:row>
      <xdr:rowOff>66675</xdr:rowOff>
    </xdr:to>
    <xdr:sp macro="" textlink="">
      <xdr:nvSpPr>
        <xdr:cNvPr id="5" name="正方形/長方形 4">
          <a:extLst>
            <a:ext uri="{FF2B5EF4-FFF2-40B4-BE49-F238E27FC236}">
              <a16:creationId xmlns:a16="http://schemas.microsoft.com/office/drawing/2014/main" id="{04AF2553-0B25-0735-D21C-E763029B0EB5}"/>
            </a:ext>
          </a:extLst>
        </xdr:cNvPr>
        <xdr:cNvSpPr/>
      </xdr:nvSpPr>
      <xdr:spPr>
        <a:xfrm>
          <a:off x="1168400" y="16687800"/>
          <a:ext cx="5524500" cy="4105275"/>
        </a:xfrm>
        <a:prstGeom prst="rect">
          <a:avLst/>
        </a:prstGeom>
        <a:solidFill>
          <a:schemeClr val="bg1">
            <a:lumMod val="65000"/>
            <a:alpha val="59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2400" b="1"/>
            <a:t>これは現在制度ではなく、</a:t>
          </a:r>
          <a:endParaRPr lang="en-US" altLang="ja-JP" sz="2400" b="1"/>
        </a:p>
        <a:p>
          <a:pPr algn="l"/>
          <a:r>
            <a:rPr lang="ja-JP" altLang="en-US" sz="2400" b="1"/>
            <a:t>旧制度ですよね。（一応確認）</a:t>
          </a:r>
          <a:endParaRPr lang="en-US" sz="2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86590-E342-4E45-8AFF-47AE7D272D8B}">
  <sheetPr>
    <tabColor theme="8" tint="-0.249977111117893"/>
    <pageSetUpPr fitToPage="1"/>
  </sheetPr>
  <dimension ref="A1:Q16"/>
  <sheetViews>
    <sheetView showGridLines="0" tabSelected="1" zoomScaleNormal="100" zoomScaleSheetLayoutView="100" workbookViewId="0"/>
  </sheetViews>
  <sheetFormatPr defaultRowHeight="16.5" outlineLevelCol="1"/>
  <cols>
    <col min="1" max="1" width="2.1796875" style="354" customWidth="1"/>
    <col min="2" max="2" width="44.1796875" style="354" customWidth="1"/>
    <col min="3" max="3" width="24.90625" style="354" customWidth="1"/>
    <col min="4" max="5" width="5.36328125" style="354" customWidth="1"/>
    <col min="6" max="6" width="45.36328125" style="354" customWidth="1"/>
    <col min="7" max="7" width="23.453125" style="354" customWidth="1"/>
    <col min="8" max="9" width="5.7265625" style="354" customWidth="1"/>
    <col min="10" max="10" width="14.7265625" style="428" hidden="1" customWidth="1" outlineLevel="1"/>
    <col min="11" max="11" width="12.08984375" style="428" hidden="1" customWidth="1" outlineLevel="1"/>
    <col min="12" max="12" width="11.26953125" style="428" hidden="1" customWidth="1" outlineLevel="1"/>
    <col min="13" max="13" width="11.1796875" style="428" hidden="1" customWidth="1" outlineLevel="1"/>
    <col min="14" max="14" width="8.7265625" style="428" hidden="1" customWidth="1" outlineLevel="1"/>
    <col min="15" max="16" width="8.7265625" style="354" hidden="1" customWidth="1" outlineLevel="1"/>
    <col min="17" max="17" width="8.7265625" style="354" collapsed="1"/>
    <col min="18" max="16384" width="8.7265625" style="354"/>
  </cols>
  <sheetData>
    <row r="1" spans="1:13">
      <c r="A1" s="435" t="s">
        <v>228</v>
      </c>
      <c r="B1" s="435"/>
      <c r="C1" s="435"/>
      <c r="D1" s="435"/>
      <c r="E1" s="435"/>
      <c r="F1" s="435"/>
      <c r="G1" s="427" t="s">
        <v>217</v>
      </c>
      <c r="H1" s="435"/>
    </row>
    <row r="2" spans="1:13" ht="21.5" customHeight="1">
      <c r="A2" s="435"/>
      <c r="B2" s="436" t="s">
        <v>225</v>
      </c>
      <c r="C2" s="435"/>
      <c r="D2" s="435"/>
      <c r="E2" s="435"/>
      <c r="F2" s="435"/>
      <c r="G2" s="435"/>
      <c r="H2" s="435"/>
    </row>
    <row r="3" spans="1:13" ht="11" customHeight="1">
      <c r="A3" s="435"/>
      <c r="B3" s="436"/>
      <c r="C3" s="435"/>
      <c r="D3" s="435"/>
      <c r="E3" s="435"/>
      <c r="F3" s="435"/>
      <c r="G3" s="435"/>
      <c r="H3" s="435"/>
    </row>
    <row r="4" spans="1:13" ht="21.5" customHeight="1">
      <c r="A4" s="435"/>
      <c r="B4" s="437" t="s">
        <v>112</v>
      </c>
      <c r="C4" s="438"/>
      <c r="D4" s="435"/>
      <c r="E4" s="435"/>
      <c r="F4" s="439" t="s">
        <v>222</v>
      </c>
      <c r="G4" s="440"/>
      <c r="H4" s="435"/>
    </row>
    <row r="5" spans="1:13" ht="17" thickBot="1">
      <c r="A5" s="435"/>
      <c r="B5" s="435"/>
      <c r="C5" s="435"/>
      <c r="D5" s="435"/>
      <c r="E5" s="435"/>
      <c r="F5" s="435"/>
      <c r="G5" s="435"/>
      <c r="H5" s="435"/>
    </row>
    <row r="6" spans="1:13" ht="24" customHeight="1" thickBot="1">
      <c r="A6" s="435"/>
      <c r="B6" s="441" t="s">
        <v>110</v>
      </c>
      <c r="C6" s="442" t="s">
        <v>213</v>
      </c>
      <c r="D6" s="435"/>
      <c r="E6" s="435"/>
      <c r="F6" s="441"/>
      <c r="G6" s="441"/>
      <c r="H6" s="435"/>
      <c r="J6" s="433" t="s">
        <v>213</v>
      </c>
      <c r="K6" s="433"/>
    </row>
    <row r="7" spans="1:13" ht="24" customHeight="1" thickBot="1">
      <c r="A7" s="435"/>
      <c r="B7" s="435"/>
      <c r="C7" s="435"/>
      <c r="D7" s="435"/>
      <c r="E7" s="435"/>
      <c r="F7" s="435"/>
      <c r="G7" s="435"/>
      <c r="H7" s="435"/>
      <c r="J7" s="433" t="s">
        <v>214</v>
      </c>
      <c r="K7" s="433"/>
    </row>
    <row r="8" spans="1:13" ht="24" customHeight="1" thickBot="1">
      <c r="A8" s="435"/>
      <c r="B8" s="441" t="s">
        <v>111</v>
      </c>
      <c r="C8" s="443" t="s">
        <v>183</v>
      </c>
      <c r="D8" s="435"/>
      <c r="E8" s="435"/>
      <c r="F8" s="441" t="s">
        <v>223</v>
      </c>
      <c r="G8" s="443" t="s">
        <v>205</v>
      </c>
      <c r="H8" s="435"/>
    </row>
    <row r="9" spans="1:13" ht="24" customHeight="1" thickBot="1">
      <c r="A9" s="435"/>
      <c r="B9" s="435"/>
      <c r="C9" s="435"/>
      <c r="D9" s="435"/>
      <c r="E9" s="435"/>
      <c r="F9" s="435"/>
      <c r="G9" s="435"/>
      <c r="H9" s="435"/>
    </row>
    <row r="10" spans="1:13" ht="24" customHeight="1" thickBot="1">
      <c r="A10" s="435"/>
      <c r="B10" s="441" t="s">
        <v>155</v>
      </c>
      <c r="C10" s="444">
        <v>260000</v>
      </c>
      <c r="D10" s="435"/>
      <c r="E10" s="435"/>
      <c r="F10" s="445" t="s">
        <v>224</v>
      </c>
      <c r="G10" s="446">
        <f>IFERROR(IF(K12&gt;K14,K14,IF($C$10="","",IF(AND((K10&lt;0),(K12&gt;K14)),K14,IF((K10&gt;0),MAX(K12,K13),K12)))),"")</f>
        <v>274150</v>
      </c>
      <c r="H10" s="435"/>
      <c r="J10" s="428" t="s">
        <v>118</v>
      </c>
      <c r="K10" s="434">
        <f>INDEX('25年_美容職新制度設計 (実昇降格)'!$E$6:$AA$21,MATCH($C$8,'25年_美容職新制度設計 (実昇降格)'!$E$6:$E$13,0),MATCH($G$8,'25年_美容職新制度設計 (実昇降格)'!$E$6:$AA$6,0))</f>
        <v>5.4399999999999997E-2</v>
      </c>
    </row>
    <row r="11" spans="1:13" ht="24" customHeight="1" thickBot="1">
      <c r="A11" s="435"/>
      <c r="B11" s="435"/>
      <c r="C11" s="435"/>
      <c r="D11" s="435"/>
      <c r="E11" s="435"/>
      <c r="F11" s="435"/>
      <c r="G11" s="435"/>
      <c r="H11" s="435"/>
      <c r="J11" s="428" t="s">
        <v>121</v>
      </c>
      <c r="K11" s="430">
        <f>IF(K10&gt;0,ROUNDUP(((C10+C12)*K10),-1),ROUNDDOWN(((C10+C12)*K10),-1))</f>
        <v>14150</v>
      </c>
    </row>
    <row r="12" spans="1:13" ht="24" customHeight="1" thickBot="1">
      <c r="A12" s="435"/>
      <c r="B12" s="441" t="s">
        <v>117</v>
      </c>
      <c r="C12" s="447"/>
      <c r="D12" s="435"/>
      <c r="E12" s="435"/>
      <c r="F12" s="441" t="s">
        <v>133</v>
      </c>
      <c r="G12" s="448" t="str">
        <f>IFERROR(IF(M14&lt;&gt;0,M14,"0"),"")</f>
        <v>0</v>
      </c>
      <c r="H12" s="435"/>
      <c r="J12" s="428" t="s">
        <v>123</v>
      </c>
      <c r="K12" s="431">
        <f>SUM($C$10,C12,K11)</f>
        <v>274150</v>
      </c>
    </row>
    <row r="13" spans="1:13">
      <c r="A13" s="435"/>
      <c r="B13" s="435"/>
      <c r="C13" s="435"/>
      <c r="D13" s="435"/>
      <c r="E13" s="435"/>
      <c r="F13" s="435"/>
      <c r="G13" s="435"/>
      <c r="H13" s="435"/>
      <c r="J13" s="428" t="s">
        <v>119</v>
      </c>
      <c r="K13" s="432">
        <f>IF($C$6=$J$6,VLOOKUP($G$8,'25年_美容職新制度設計 (実昇降格)'!$E$15:$AC$21,9,0),
IF($C$6=$J$7,VLOOKUP($G$8,'25年_美容職新制度設計 (実昇降格)'!$E$7:$AC$13,9,0))
)</f>
        <v>233300</v>
      </c>
    </row>
    <row r="14" spans="1:13">
      <c r="A14" s="435"/>
      <c r="B14" s="435"/>
      <c r="C14" s="435"/>
      <c r="D14" s="435"/>
      <c r="E14" s="435"/>
      <c r="F14" s="435"/>
      <c r="G14" s="435"/>
      <c r="H14" s="435"/>
      <c r="J14" s="428" t="s">
        <v>120</v>
      </c>
      <c r="K14" s="432">
        <f>IF($C$6=$J$6,VLOOKUP($G$8,'25年_美容職新制度設計 (実昇降格)'!$E$15:$AC$21,25,0),
IF($C$6=$J$7,VLOOKUP($G$8,'25年_美容職新制度設計 (実昇降格)'!$E$7:$AC$13,25,0),
))</f>
        <v>407480</v>
      </c>
      <c r="L14" s="428" t="s">
        <v>125</v>
      </c>
      <c r="M14" s="432" t="str">
        <f>IF(K14&lt;K12,K12-K14,"0")</f>
        <v>0</v>
      </c>
    </row>
    <row r="15" spans="1:13" ht="96.5" customHeight="1">
      <c r="A15" s="435"/>
      <c r="B15" s="457" t="s">
        <v>226</v>
      </c>
      <c r="C15" s="457"/>
      <c r="D15" s="457"/>
      <c r="E15" s="457"/>
      <c r="F15" s="457"/>
      <c r="G15" s="457"/>
      <c r="H15" s="435"/>
    </row>
    <row r="16" spans="1:13">
      <c r="A16" s="435"/>
      <c r="B16" s="435"/>
      <c r="C16" s="435"/>
      <c r="D16" s="435"/>
      <c r="E16" s="435"/>
      <c r="F16" s="435"/>
      <c r="G16" s="435"/>
      <c r="H16" s="435"/>
    </row>
  </sheetData>
  <sheetProtection algorithmName="SHA-512" hashValue="kPNcV6fh+sI/ll39mvD5v8WfqxpzdvDYwPlCnThRV9mfX6wrV2LXu9zZit3g1hk0qS9Jw7p3OJHJMY/kFQZzLQ==" saltValue="5b0T3avLdp8gt3o+RFe9Pw==" spinCount="100000" sheet="1" objects="1" scenarios="1"/>
  <mergeCells count="1">
    <mergeCell ref="B15:G15"/>
  </mergeCells>
  <pageMargins left="0.70866141732283472" right="0.70866141732283472" top="0.74803149606299213" bottom="0.74803149606299213" header="0.31496062992125984" footer="0.31496062992125984"/>
  <pageSetup paperSize="9" scale="82" orientation="landscape" verticalDpi="0" r:id="rId1"/>
  <headerFooter>
    <oddFooter>&amp;L_x000D_&amp;1#&amp;"Calibri"&amp;10&amp;K317100 Internal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11BC558-B8D3-479A-84B9-3B885FEC7E4D}">
          <x14:formula1>
            <xm:f>リスト値!$I$3:$I$8</xm:f>
          </x14:formula1>
          <xm:sqref>G8 C8</xm:sqref>
        </x14:dataValidation>
        <x14:dataValidation type="list" allowBlank="1" showInputMessage="1" showErrorMessage="1" xr:uid="{1018EF16-5748-4B62-8384-B8DD6EF41536}">
          <x14:formula1>
            <xm:f>リスト値!$B$10:$B$11</xm:f>
          </x14:formula1>
          <xm:sqref>C6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D65F0-8E18-4A0F-8772-F33250428B9E}">
  <dimension ref="A1"/>
  <sheetViews>
    <sheetView showGridLines="0" topLeftCell="A121" workbookViewId="0">
      <selection activeCell="Q14" sqref="Q14"/>
    </sheetView>
  </sheetViews>
  <sheetFormatPr defaultRowHeight="1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ED4C1-5505-4A7C-8D1F-0BE74E88F8E8}">
  <sheetPr>
    <tabColor theme="4" tint="0.39997558519241921"/>
    <pageSetUpPr fitToPage="1"/>
  </sheetPr>
  <dimension ref="A1:Q16"/>
  <sheetViews>
    <sheetView showGridLines="0" zoomScaleNormal="100" zoomScaleSheetLayoutView="100" workbookViewId="0"/>
  </sheetViews>
  <sheetFormatPr defaultRowHeight="16.5" outlineLevelCol="1"/>
  <cols>
    <col min="1" max="1" width="2.1796875" style="354" customWidth="1"/>
    <col min="2" max="2" width="44.1796875" style="354" customWidth="1"/>
    <col min="3" max="3" width="24.90625" style="354" customWidth="1"/>
    <col min="4" max="5" width="5.36328125" style="354" customWidth="1"/>
    <col min="6" max="6" width="45.36328125" style="354" customWidth="1"/>
    <col min="7" max="7" width="23.453125" style="354" customWidth="1"/>
    <col min="8" max="9" width="5.7265625" style="354" customWidth="1"/>
    <col min="10" max="10" width="14.7265625" style="428" hidden="1" customWidth="1" outlineLevel="1"/>
    <col min="11" max="11" width="12.08984375" style="428" hidden="1" customWidth="1" outlineLevel="1"/>
    <col min="12" max="12" width="11.26953125" style="428" hidden="1" customWidth="1" outlineLevel="1"/>
    <col min="13" max="13" width="11.1796875" style="428" hidden="1" customWidth="1" outlineLevel="1"/>
    <col min="14" max="16" width="0" style="428" hidden="1" customWidth="1" outlineLevel="1"/>
    <col min="17" max="17" width="8.7265625" style="354" collapsed="1"/>
    <col min="18" max="16384" width="8.7265625" style="354"/>
  </cols>
  <sheetData>
    <row r="1" spans="1:13">
      <c r="A1" s="435"/>
      <c r="B1" s="435"/>
      <c r="C1" s="435"/>
      <c r="D1" s="435"/>
      <c r="E1" s="435"/>
      <c r="F1" s="435"/>
      <c r="G1" s="427" t="s">
        <v>215</v>
      </c>
      <c r="H1" s="435"/>
    </row>
    <row r="2" spans="1:13" ht="21.5" customHeight="1">
      <c r="A2" s="435"/>
      <c r="B2" s="436" t="s">
        <v>109</v>
      </c>
      <c r="C2" s="435"/>
      <c r="D2" s="435"/>
      <c r="E2" s="435"/>
      <c r="F2" s="435"/>
      <c r="G2" s="435"/>
      <c r="H2" s="435"/>
    </row>
    <row r="3" spans="1:13" ht="11" customHeight="1">
      <c r="A3" s="435"/>
      <c r="B3" s="436"/>
      <c r="C3" s="435"/>
      <c r="D3" s="435"/>
      <c r="E3" s="435"/>
      <c r="F3" s="435"/>
      <c r="G3" s="435"/>
      <c r="H3" s="435"/>
    </row>
    <row r="4" spans="1:13" ht="21.5" customHeight="1">
      <c r="A4" s="435"/>
      <c r="B4" s="437" t="s">
        <v>112</v>
      </c>
      <c r="C4" s="438"/>
      <c r="D4" s="435"/>
      <c r="E4" s="435"/>
      <c r="F4" s="439" t="s">
        <v>113</v>
      </c>
      <c r="G4" s="440"/>
      <c r="H4" s="435"/>
      <c r="J4" s="428" t="s">
        <v>114</v>
      </c>
    </row>
    <row r="5" spans="1:13" ht="17" thickBot="1">
      <c r="A5" s="435"/>
      <c r="B5" s="435"/>
      <c r="C5" s="435"/>
      <c r="D5" s="435"/>
      <c r="E5" s="435"/>
      <c r="F5" s="435"/>
      <c r="G5" s="435"/>
      <c r="H5" s="435"/>
      <c r="J5" s="428" t="s">
        <v>115</v>
      </c>
    </row>
    <row r="6" spans="1:13" ht="24" customHeight="1" thickBot="1">
      <c r="A6" s="435"/>
      <c r="B6" s="441" t="s">
        <v>110</v>
      </c>
      <c r="C6" s="442" t="s">
        <v>114</v>
      </c>
      <c r="D6" s="435"/>
      <c r="E6" s="435"/>
      <c r="F6" s="441"/>
      <c r="G6" s="441"/>
      <c r="H6" s="435"/>
      <c r="J6" s="428" t="s">
        <v>116</v>
      </c>
    </row>
    <row r="7" spans="1:13" ht="24" customHeight="1" thickBot="1">
      <c r="A7" s="435"/>
      <c r="B7" s="435"/>
      <c r="C7" s="435"/>
      <c r="D7" s="435"/>
      <c r="E7" s="435"/>
      <c r="F7" s="435"/>
      <c r="G7" s="435"/>
      <c r="H7" s="435"/>
    </row>
    <row r="8" spans="1:13" ht="24" customHeight="1" thickBot="1">
      <c r="A8" s="435"/>
      <c r="B8" s="441" t="s">
        <v>111</v>
      </c>
      <c r="C8" s="443" t="s">
        <v>227</v>
      </c>
      <c r="D8" s="435"/>
      <c r="E8" s="435"/>
      <c r="F8" s="441" t="s">
        <v>122</v>
      </c>
      <c r="G8" s="443" t="s">
        <v>48</v>
      </c>
      <c r="H8" s="435"/>
    </row>
    <row r="9" spans="1:13" ht="24" customHeight="1" thickBot="1">
      <c r="A9" s="435"/>
      <c r="B9" s="435"/>
      <c r="C9" s="435"/>
      <c r="D9" s="435"/>
      <c r="E9" s="435"/>
      <c r="F9" s="435"/>
      <c r="G9" s="435"/>
      <c r="H9" s="435"/>
    </row>
    <row r="10" spans="1:13" ht="24" customHeight="1" thickBot="1">
      <c r="A10" s="435"/>
      <c r="B10" s="441" t="s">
        <v>155</v>
      </c>
      <c r="C10" s="444">
        <v>378460</v>
      </c>
      <c r="D10" s="435"/>
      <c r="E10" s="435"/>
      <c r="F10" s="445" t="s">
        <v>156</v>
      </c>
      <c r="G10" s="446">
        <f>IF(K12&gt;K14,K14,IF($C$10="","",IF(AND(RIGHT(C8,2)&gt;RIGHT(G8,2),K12&gt;K14),K14,IF(RIGHT(C8,2)&lt;RIGHT(G8,2),MAX(K12,K13),K12))))</f>
        <v>477860</v>
      </c>
      <c r="H10" s="435"/>
      <c r="J10" s="428" t="s">
        <v>118</v>
      </c>
      <c r="K10" s="429">
        <f>INDEX('24年時点_制度設計'!$C$9:$BD$14,MATCH($C$8,'24年時点_制度設計'!$C$9:$C$14,0),MATCH($G$8,'24年時点_制度設計'!$C$9:$BD$9,0))</f>
        <v>0.1699</v>
      </c>
    </row>
    <row r="11" spans="1:13" ht="24" customHeight="1" thickBot="1">
      <c r="A11" s="435"/>
      <c r="B11" s="435"/>
      <c r="C11" s="435"/>
      <c r="D11" s="435"/>
      <c r="E11" s="435"/>
      <c r="F11" s="435"/>
      <c r="G11" s="435"/>
      <c r="H11" s="435"/>
      <c r="J11" s="428" t="s">
        <v>121</v>
      </c>
      <c r="K11" s="430">
        <f>IF(RIGHT(C8,2)&lt;RIGHT(G8,2),ROUNDUP(((C10+C12)*K10),-1),ROUNDDOWN(((C10+C12)*K10),-1))</f>
        <v>69400</v>
      </c>
    </row>
    <row r="12" spans="1:13" ht="24" customHeight="1" thickBot="1">
      <c r="A12" s="435"/>
      <c r="B12" s="441" t="s">
        <v>117</v>
      </c>
      <c r="C12" s="447">
        <v>30000</v>
      </c>
      <c r="D12" s="435"/>
      <c r="E12" s="435"/>
      <c r="F12" s="441" t="s">
        <v>133</v>
      </c>
      <c r="G12" s="448" t="str">
        <f>IF(M14&lt;&gt;0,M14,"0")</f>
        <v>0</v>
      </c>
      <c r="H12" s="435"/>
      <c r="J12" s="428" t="s">
        <v>123</v>
      </c>
      <c r="K12" s="431">
        <f>SUM($C$10,C12,K11)</f>
        <v>477860</v>
      </c>
    </row>
    <row r="13" spans="1:13">
      <c r="A13" s="435"/>
      <c r="B13" s="435"/>
      <c r="C13" s="435"/>
      <c r="D13" s="435"/>
      <c r="E13" s="435"/>
      <c r="F13" s="435"/>
      <c r="G13" s="435"/>
      <c r="H13" s="435"/>
      <c r="J13" s="428" t="s">
        <v>119</v>
      </c>
      <c r="K13" s="432">
        <f>IF($C$6=$J$6,VLOOKUP($G$8,'24年時点_制度設計'!$D$15:$BD$19,10,0),
IF($C$6=$J$5,VLOOKUP($G$8,'24年時点_制度設計'!$D$16:$BD$19,10,0),
IF($C$6=$J$4,VLOOKUP($G$8,'24年時点_制度設計'!$C$10:$BD$14,11,0))))</f>
        <v>395160</v>
      </c>
    </row>
    <row r="14" spans="1:13">
      <c r="A14" s="435"/>
      <c r="B14" s="435"/>
      <c r="C14" s="435"/>
      <c r="D14" s="435"/>
      <c r="E14" s="435"/>
      <c r="F14" s="435"/>
      <c r="G14" s="435"/>
      <c r="H14" s="435"/>
      <c r="J14" s="428" t="s">
        <v>120</v>
      </c>
      <c r="K14" s="432">
        <f>IF($C$6=$J$6,VLOOKUP($G$8,'24年時点_制度設計'!$D$15:$BD$19,12,0),
IF($C$6=$J$5,VLOOKUP($G$8,'24年時点_制度設計'!$D$16:$BD$19,12,0),
IF($C$6=$J$4,VLOOKUP($G$8,'24年時点_制度設計'!$C$10:$BD$14,13,0))))</f>
        <v>592730</v>
      </c>
      <c r="L14" s="428" t="s">
        <v>125</v>
      </c>
      <c r="M14" s="432" t="str">
        <f>IF(K14&lt;K12,K12-K14,"0")</f>
        <v>0</v>
      </c>
    </row>
    <row r="15" spans="1:13" ht="81.5" customHeight="1">
      <c r="A15" s="435"/>
      <c r="B15" s="457" t="s">
        <v>218</v>
      </c>
      <c r="C15" s="457"/>
      <c r="D15" s="457"/>
      <c r="E15" s="457"/>
      <c r="F15" s="457"/>
      <c r="G15" s="457"/>
      <c r="H15" s="435"/>
    </row>
    <row r="16" spans="1:13">
      <c r="A16" s="435"/>
      <c r="B16" s="435"/>
      <c r="C16" s="435"/>
      <c r="D16" s="435"/>
      <c r="E16" s="435"/>
      <c r="F16" s="435"/>
      <c r="G16" s="435"/>
      <c r="H16" s="435"/>
    </row>
  </sheetData>
  <sheetProtection algorithmName="SHA-512" hashValue="k7AgHZYyWy2D6QzjdBVL+wmerJKzPAs+Fk+4ud/kXcwDIlnd+WdgmdpICZcZzujnAEhx1WvMSIDcDU6K81HM0w==" saltValue="VgnzZIouCAr+KYticXeiag==" spinCount="100000" sheet="1" objects="1" scenarios="1"/>
  <mergeCells count="1">
    <mergeCell ref="B15:G15"/>
  </mergeCells>
  <pageMargins left="0.70866141732283472" right="0.70866141732283472" top="0.74803149606299213" bottom="0.74803149606299213" header="0.31496062992125984" footer="0.31496062992125984"/>
  <pageSetup paperSize="9" scale="82" orientation="landscape" verticalDpi="0" r:id="rId1"/>
  <headerFooter>
    <oddFooter>&amp;L_x000D_&amp;1#&amp;"Calibri"&amp;10&amp;K317100 Internal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A74F6E0-AFFB-4CE1-A29C-A4971DC63768}">
          <x14:formula1>
            <xm:f>リスト値!$B$3:$B$5</xm:f>
          </x14:formula1>
          <xm:sqref>C6</xm:sqref>
        </x14:dataValidation>
        <x14:dataValidation type="list" allowBlank="1" showInputMessage="1" showErrorMessage="1" xr:uid="{4D13DFDF-9F93-42A2-9618-AF48BFA42A27}">
          <x14:formula1>
            <xm:f>リスト値!$E$3:$E$7</xm:f>
          </x14:formula1>
          <xm:sqref>C8 G8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D744F-04F5-4C48-BC63-480D23FA1C98}">
  <sheetPr>
    <tabColor theme="4" tint="0.39997558519241921"/>
    <pageSetUpPr fitToPage="1"/>
  </sheetPr>
  <dimension ref="A1:Q16"/>
  <sheetViews>
    <sheetView showGridLines="0" zoomScaleNormal="100" zoomScaleSheetLayoutView="100" workbookViewId="0"/>
  </sheetViews>
  <sheetFormatPr defaultRowHeight="16.5" outlineLevelCol="1"/>
  <cols>
    <col min="1" max="1" width="2.1796875" style="354" customWidth="1"/>
    <col min="2" max="2" width="48.26953125" style="354" customWidth="1"/>
    <col min="3" max="3" width="21.1796875" style="354" customWidth="1"/>
    <col min="4" max="5" width="5.36328125" style="354" customWidth="1"/>
    <col min="6" max="6" width="53.453125" style="357" customWidth="1"/>
    <col min="7" max="7" width="21.81640625" style="354" customWidth="1"/>
    <col min="8" max="9" width="5.7265625" style="354" customWidth="1"/>
    <col min="10" max="10" width="14.7265625" style="428" hidden="1" customWidth="1" outlineLevel="1"/>
    <col min="11" max="11" width="12.08984375" style="428" hidden="1" customWidth="1" outlineLevel="1"/>
    <col min="12" max="12" width="11.26953125" style="428" hidden="1" customWidth="1" outlineLevel="1"/>
    <col min="13" max="13" width="11.1796875" style="428" hidden="1" customWidth="1" outlineLevel="1"/>
    <col min="14" max="16" width="8.7265625" style="428" hidden="1" customWidth="1" outlineLevel="1"/>
    <col min="17" max="17" width="8.7265625" style="354" collapsed="1"/>
    <col min="18" max="16384" width="8.7265625" style="354"/>
  </cols>
  <sheetData>
    <row r="1" spans="1:13">
      <c r="A1" s="435"/>
      <c r="B1" s="435"/>
      <c r="C1" s="435"/>
      <c r="D1" s="435"/>
      <c r="E1" s="435"/>
      <c r="F1" s="449"/>
      <c r="G1" s="450" t="s">
        <v>216</v>
      </c>
      <c r="H1" s="435"/>
    </row>
    <row r="2" spans="1:13" ht="21.5" customHeight="1">
      <c r="A2" s="435"/>
      <c r="B2" s="458" t="s">
        <v>140</v>
      </c>
      <c r="C2" s="458"/>
      <c r="D2" s="458"/>
      <c r="E2" s="458"/>
      <c r="F2" s="458"/>
      <c r="G2" s="435"/>
      <c r="H2" s="435"/>
    </row>
    <row r="3" spans="1:13" ht="11" customHeight="1">
      <c r="A3" s="435"/>
      <c r="B3" s="436"/>
      <c r="C3" s="435"/>
      <c r="D3" s="435"/>
      <c r="E3" s="435"/>
      <c r="F3" s="449"/>
      <c r="G3" s="435"/>
      <c r="H3" s="435"/>
    </row>
    <row r="4" spans="1:13" ht="21.5" customHeight="1">
      <c r="A4" s="435"/>
      <c r="B4" s="451" t="s">
        <v>153</v>
      </c>
      <c r="C4" s="438"/>
      <c r="D4" s="435"/>
      <c r="E4" s="435"/>
      <c r="F4" s="452" t="s">
        <v>134</v>
      </c>
      <c r="G4" s="440"/>
      <c r="H4" s="435"/>
      <c r="J4" s="428" t="s">
        <v>114</v>
      </c>
      <c r="K4" s="433" t="s">
        <v>148</v>
      </c>
    </row>
    <row r="5" spans="1:13" ht="17" thickBot="1">
      <c r="A5" s="435"/>
      <c r="B5" s="435"/>
      <c r="C5" s="435"/>
      <c r="D5" s="435"/>
      <c r="E5" s="435"/>
      <c r="F5" s="449"/>
      <c r="G5" s="435"/>
      <c r="H5" s="435"/>
      <c r="J5" s="428" t="s">
        <v>115</v>
      </c>
      <c r="K5" s="433" t="s">
        <v>149</v>
      </c>
    </row>
    <row r="6" spans="1:13" ht="31" customHeight="1" thickBot="1">
      <c r="A6" s="435"/>
      <c r="B6" s="453" t="s">
        <v>135</v>
      </c>
      <c r="C6" s="454" t="s">
        <v>149</v>
      </c>
      <c r="D6" s="435"/>
      <c r="E6" s="435"/>
      <c r="F6" s="453"/>
      <c r="G6" s="441"/>
      <c r="H6" s="435"/>
      <c r="J6" s="428" t="s">
        <v>116</v>
      </c>
      <c r="K6" s="433" t="s">
        <v>150</v>
      </c>
    </row>
    <row r="7" spans="1:13" ht="24" customHeight="1" thickBot="1">
      <c r="A7" s="435"/>
      <c r="B7" s="449"/>
      <c r="C7" s="435"/>
      <c r="D7" s="435"/>
      <c r="E7" s="435"/>
      <c r="F7" s="449"/>
      <c r="G7" s="435"/>
      <c r="H7" s="435"/>
    </row>
    <row r="8" spans="1:13" ht="34" customHeight="1" thickBot="1">
      <c r="A8" s="435"/>
      <c r="B8" s="453" t="s">
        <v>136</v>
      </c>
      <c r="C8" s="443" t="s">
        <v>227</v>
      </c>
      <c r="D8" s="435"/>
      <c r="E8" s="435"/>
      <c r="F8" s="453" t="s">
        <v>141</v>
      </c>
      <c r="G8" s="443" t="s">
        <v>47</v>
      </c>
      <c r="H8" s="435"/>
    </row>
    <row r="9" spans="1:13" ht="24" customHeight="1" thickBot="1">
      <c r="A9" s="435"/>
      <c r="B9" s="449"/>
      <c r="C9" s="435"/>
      <c r="D9" s="435"/>
      <c r="E9" s="435"/>
      <c r="F9" s="449"/>
      <c r="G9" s="435"/>
      <c r="H9" s="435"/>
    </row>
    <row r="10" spans="1:13" ht="28.5" customHeight="1" thickBot="1">
      <c r="A10" s="435"/>
      <c r="B10" s="453" t="s">
        <v>137</v>
      </c>
      <c r="C10" s="444">
        <v>378460</v>
      </c>
      <c r="D10" s="435"/>
      <c r="E10" s="435"/>
      <c r="F10" s="455" t="s">
        <v>157</v>
      </c>
      <c r="G10" s="446">
        <f>IF(K12&gt;K14,K14,IF($C$10="","",IF(AND(RIGHT(C8,2)&gt;RIGHT(G8,2),K12&gt;K14),K14,IF(RIGHT(C8,2)&lt;RIGHT(G8,2),MAX(K12,K13),K12))))</f>
        <v>411350</v>
      </c>
      <c r="H10" s="435"/>
      <c r="J10" s="428" t="s">
        <v>118</v>
      </c>
      <c r="K10" s="429">
        <f>INDEX('24年時点_制度設計'!$C$9:$BD$14,MATCH($C$8,'24年時点_制度設計'!$C$9:$C$14,0),MATCH($G$8,'24年時点_制度設計'!$C$9:$BD$9,0))</f>
        <v>8.6900000000000005E-2</v>
      </c>
    </row>
    <row r="11" spans="1:13" ht="24" customHeight="1" thickBot="1">
      <c r="A11" s="435"/>
      <c r="B11" s="449"/>
      <c r="C11" s="435"/>
      <c r="D11" s="435"/>
      <c r="E11" s="435"/>
      <c r="F11" s="449"/>
      <c r="G11" s="435"/>
      <c r="H11" s="435"/>
      <c r="J11" s="428" t="s">
        <v>121</v>
      </c>
      <c r="K11" s="430">
        <f>IF(RIGHT(C8,2)&lt;RIGHT(G8,2),ROUNDUP(((C10+C12)*K10),-1),ROUNDDOWN(((C10+C12)*K10),-1))</f>
        <v>32890</v>
      </c>
    </row>
    <row r="12" spans="1:13" ht="30" customHeight="1" thickBot="1">
      <c r="A12" s="435"/>
      <c r="B12" s="453" t="s">
        <v>138</v>
      </c>
      <c r="C12" s="447"/>
      <c r="D12" s="435"/>
      <c r="E12" s="435"/>
      <c r="F12" s="453" t="s">
        <v>139</v>
      </c>
      <c r="G12" s="448" t="str">
        <f>IF(M14&lt;&gt;0,M14,"0")</f>
        <v>0</v>
      </c>
      <c r="H12" s="435"/>
      <c r="J12" s="428" t="s">
        <v>123</v>
      </c>
      <c r="K12" s="431">
        <f>SUM($C$10,C12,K11)</f>
        <v>411350</v>
      </c>
    </row>
    <row r="13" spans="1:13">
      <c r="A13" s="435"/>
      <c r="B13" s="435"/>
      <c r="C13" s="435"/>
      <c r="D13" s="435"/>
      <c r="E13" s="435"/>
      <c r="F13" s="449"/>
      <c r="G13" s="435"/>
      <c r="H13" s="435"/>
      <c r="J13" s="428" t="s">
        <v>119</v>
      </c>
      <c r="K13" s="432">
        <f>IF(OR($C$6=$J$6,$C$6=$K$6),VLOOKUP($G$8,'24年時点_制度設計'!$D$15:$BD$19,10,0),
IF(OR($C$6=$J$5,$C$6=$K$5),VLOOKUP($G$8,'24年時点_制度設計'!$D$16:$BD$19,10,0),
IF(OR($C$6=$J$4,$C$6=$K$4),VLOOKUP($G$8,'24年時点_制度設計'!$C$10:$BD$14,11,0))))</f>
        <v>308540</v>
      </c>
    </row>
    <row r="14" spans="1:13">
      <c r="A14" s="435"/>
      <c r="B14" s="435"/>
      <c r="C14" s="435"/>
      <c r="D14" s="435"/>
      <c r="E14" s="435"/>
      <c r="F14" s="449"/>
      <c r="G14" s="435"/>
      <c r="H14" s="435"/>
      <c r="J14" s="428" t="s">
        <v>120</v>
      </c>
      <c r="K14" s="432">
        <f>IF(OR($C$6=$J$6,$C$6=$K$6),VLOOKUP($G$8,'24年時点_制度設計'!$D$15:$BD$19,12,0),
IF(OR($C$6=$J$5,$C$6=$K$5),VLOOKUP($G$8,'24年時点_制度設計'!$D$16:$BD$19,12,0),
IF(OR($C$6=$J$4,$C$6=$K$4),VLOOKUP($G$8,'24年時点_制度設計'!$C$10:$BD$14,13,0))))</f>
        <v>507480</v>
      </c>
      <c r="L14" s="428" t="s">
        <v>125</v>
      </c>
      <c r="M14" s="432" t="str">
        <f>IF(K14&lt;K12,K12-K14,"0")</f>
        <v>0</v>
      </c>
    </row>
    <row r="15" spans="1:13" ht="131" customHeight="1">
      <c r="A15" s="435"/>
      <c r="B15" s="457" t="s">
        <v>219</v>
      </c>
      <c r="C15" s="457"/>
      <c r="D15" s="457"/>
      <c r="E15" s="457"/>
      <c r="F15" s="457"/>
      <c r="G15" s="457"/>
      <c r="H15" s="435"/>
    </row>
    <row r="16" spans="1:13">
      <c r="A16" s="435"/>
      <c r="B16" s="435"/>
      <c r="C16" s="435"/>
      <c r="D16" s="435"/>
      <c r="E16" s="435"/>
      <c r="F16" s="449"/>
      <c r="G16" s="435"/>
      <c r="H16" s="435"/>
    </row>
  </sheetData>
  <sheetProtection algorithmName="SHA-512" hashValue="USWP7RaNbYAdKMxhiexMDaSfB0tkuUj8P70mwSgtnprZRchIZq3cOng3OVJ2GmsUOzNhBeBNEWR1gNeq8z6SbQ==" saltValue="Qf1PAk4++aNlHowqW03pWw==" spinCount="100000" sheet="1" objects="1" scenarios="1"/>
  <mergeCells count="2">
    <mergeCell ref="B15:G15"/>
    <mergeCell ref="B2:F2"/>
  </mergeCells>
  <pageMargins left="0.70866141732283472" right="0.70866141732283472" top="0.74803149606299213" bottom="0.74803149606299213" header="0.31496062992125984" footer="0.31496062992125984"/>
  <pageSetup paperSize="9" scale="82" orientation="landscape" verticalDpi="0" r:id="rId1"/>
  <headerFooter>
    <oddFooter>&amp;L_x000D_&amp;1#&amp;"Calibri"&amp;10&amp;K317100 Internal</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C15F0DA-4D12-4737-A3E5-AB42095EB878}">
          <x14:formula1>
            <xm:f>リスト値!$E$3:$E$7</xm:f>
          </x14:formula1>
          <xm:sqref>C8 G8</xm:sqref>
        </x14:dataValidation>
        <x14:dataValidation type="list" allowBlank="1" showInputMessage="1" showErrorMessage="1" xr:uid="{92115BE5-8C23-4A27-AF52-87A1DFD06B3A}">
          <x14:formula1>
            <xm:f>リスト値!$C$3:$C$5</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517DC-1BEB-4DA9-AFDF-8D4DBA66B9DD}">
  <sheetPr>
    <tabColor theme="6" tint="0.59999389629810485"/>
    <pageSetUpPr fitToPage="1"/>
  </sheetPr>
  <dimension ref="A1:Q15"/>
  <sheetViews>
    <sheetView showGridLines="0" zoomScaleNormal="100" zoomScaleSheetLayoutView="100" workbookViewId="0"/>
  </sheetViews>
  <sheetFormatPr defaultRowHeight="16.5" outlineLevelCol="1"/>
  <cols>
    <col min="1" max="1" width="2.1796875" style="354" customWidth="1"/>
    <col min="2" max="2" width="44.1796875" style="354" customWidth="1"/>
    <col min="3" max="3" width="24.90625" style="354" customWidth="1"/>
    <col min="4" max="5" width="5.36328125" style="354" customWidth="1"/>
    <col min="6" max="6" width="45.36328125" style="354" customWidth="1"/>
    <col min="7" max="7" width="23.453125" style="354" customWidth="1"/>
    <col min="8" max="9" width="5.7265625" style="354" customWidth="1"/>
    <col min="10" max="10" width="14.7265625" style="428" hidden="1" customWidth="1" outlineLevel="1"/>
    <col min="11" max="11" width="12.08984375" style="428" hidden="1" customWidth="1" outlineLevel="1"/>
    <col min="12" max="12" width="11.26953125" style="428" hidden="1" customWidth="1" outlineLevel="1"/>
    <col min="13" max="13" width="11.1796875" style="428" hidden="1" customWidth="1" outlineLevel="1"/>
    <col min="14" max="16" width="0" style="428" hidden="1" customWidth="1" outlineLevel="1"/>
    <col min="17" max="17" width="8.7265625" style="354" collapsed="1"/>
    <col min="18" max="16384" width="8.7265625" style="354"/>
  </cols>
  <sheetData>
    <row r="1" spans="1:13">
      <c r="A1" s="435"/>
      <c r="B1" s="435"/>
      <c r="C1" s="435"/>
      <c r="D1" s="435"/>
      <c r="E1" s="435"/>
      <c r="F1" s="435"/>
      <c r="G1" s="427" t="s">
        <v>215</v>
      </c>
      <c r="H1" s="435"/>
    </row>
    <row r="2" spans="1:13" ht="21.5" customHeight="1">
      <c r="A2" s="435"/>
      <c r="B2" s="436" t="s">
        <v>146</v>
      </c>
      <c r="C2" s="435"/>
      <c r="D2" s="435"/>
      <c r="E2" s="435"/>
      <c r="F2" s="435"/>
      <c r="G2" s="435"/>
      <c r="H2" s="435"/>
    </row>
    <row r="3" spans="1:13" ht="11" customHeight="1">
      <c r="A3" s="435"/>
      <c r="B3" s="436"/>
      <c r="C3" s="435"/>
      <c r="D3" s="435"/>
      <c r="E3" s="435"/>
      <c r="F3" s="435"/>
      <c r="G3" s="435"/>
      <c r="H3" s="435"/>
    </row>
    <row r="4" spans="1:13" ht="21.5" customHeight="1">
      <c r="A4" s="435"/>
      <c r="B4" s="437" t="s">
        <v>112</v>
      </c>
      <c r="C4" s="438"/>
      <c r="D4" s="435"/>
      <c r="E4" s="435"/>
      <c r="F4" s="439" t="s">
        <v>128</v>
      </c>
      <c r="G4" s="440"/>
      <c r="H4" s="435"/>
    </row>
    <row r="5" spans="1:13" ht="6" customHeight="1">
      <c r="A5" s="435"/>
      <c r="B5" s="435"/>
      <c r="C5" s="435"/>
      <c r="D5" s="435"/>
      <c r="E5" s="435"/>
      <c r="F5" s="435"/>
      <c r="G5" s="435"/>
      <c r="H5" s="435"/>
    </row>
    <row r="6" spans="1:13" ht="24" customHeight="1" thickBot="1">
      <c r="A6" s="435"/>
      <c r="B6" s="435"/>
      <c r="C6" s="435"/>
      <c r="D6" s="435"/>
      <c r="E6" s="435"/>
      <c r="F6" s="435"/>
      <c r="G6" s="435"/>
      <c r="H6" s="435"/>
    </row>
    <row r="7" spans="1:13" ht="24" customHeight="1" thickBot="1">
      <c r="A7" s="435"/>
      <c r="B7" s="441" t="s">
        <v>129</v>
      </c>
      <c r="C7" s="443" t="s">
        <v>86</v>
      </c>
      <c r="D7" s="435"/>
      <c r="E7" s="435"/>
      <c r="F7" s="441" t="s">
        <v>130</v>
      </c>
      <c r="G7" s="443" t="s">
        <v>88</v>
      </c>
      <c r="H7" s="435"/>
      <c r="J7" s="428" t="s">
        <v>118</v>
      </c>
      <c r="K7" s="429">
        <f>INDEX('24年時点_制度設計'!$C$32:$BF$40,MATCH($C$7,'24年時点_制度設計'!$C$32:$C$39,0),MATCH($G$7,'24年時点_制度設計'!$C$32:$BF$32,0))</f>
        <v>5.2999999999999999E-2</v>
      </c>
    </row>
    <row r="8" spans="1:13" ht="24" customHeight="1" thickBot="1">
      <c r="A8" s="435"/>
      <c r="B8" s="435"/>
      <c r="C8" s="435"/>
      <c r="D8" s="435"/>
      <c r="E8" s="435"/>
      <c r="F8" s="435"/>
      <c r="G8" s="435"/>
      <c r="H8" s="435"/>
      <c r="J8" s="428" t="s">
        <v>121</v>
      </c>
      <c r="K8" s="430">
        <f>ROUNDUP(((C9+C11)*K7),-1)</f>
        <v>15900</v>
      </c>
    </row>
    <row r="9" spans="1:13" ht="24" customHeight="1" thickBot="1">
      <c r="A9" s="435"/>
      <c r="B9" s="441" t="s">
        <v>158</v>
      </c>
      <c r="C9" s="444">
        <v>300000</v>
      </c>
      <c r="D9" s="435"/>
      <c r="E9" s="435"/>
      <c r="F9" s="445" t="s">
        <v>160</v>
      </c>
      <c r="G9" s="456">
        <f>IF(K9&gt;K11,K11,IF(K7&lt;0,"-",IF($C$9="","",IF(AND(RIGHT(C7,2)&gt;RIGHT(G7,2),K9&gt;K11),K11,IF(RIGHT(C7,2)&lt;RIGHT(G7,2),MAX(K9,K10),K9)))))</f>
        <v>315900</v>
      </c>
      <c r="H9" s="435"/>
      <c r="J9" s="428" t="s">
        <v>123</v>
      </c>
      <c r="K9" s="431">
        <f>SUM($C$9,C11,K8)</f>
        <v>315900</v>
      </c>
    </row>
    <row r="10" spans="1:13" ht="24" customHeight="1" thickBot="1">
      <c r="A10" s="435"/>
      <c r="B10" s="435"/>
      <c r="C10" s="435"/>
      <c r="D10" s="435"/>
      <c r="E10" s="435"/>
      <c r="F10" s="435"/>
      <c r="G10" s="435"/>
      <c r="H10" s="435"/>
      <c r="J10" s="428" t="s">
        <v>119</v>
      </c>
      <c r="K10" s="432">
        <f>VLOOKUP($G$7,'24年時点_制度設計'!$C$33:$BF$40,11,0)</f>
        <v>269460</v>
      </c>
    </row>
    <row r="11" spans="1:13" ht="24" customHeight="1" thickBot="1">
      <c r="A11" s="435"/>
      <c r="B11" s="441" t="s">
        <v>117</v>
      </c>
      <c r="C11" s="447"/>
      <c r="D11" s="435"/>
      <c r="E11" s="435"/>
      <c r="F11" s="441" t="s">
        <v>133</v>
      </c>
      <c r="G11" s="448" t="str">
        <f>IF(M11&lt;&gt;0,M11,"0")</f>
        <v>0</v>
      </c>
      <c r="H11" s="435"/>
      <c r="J11" s="428" t="s">
        <v>120</v>
      </c>
      <c r="K11" s="432">
        <f>VLOOKUP($G$7,'24年時点_制度設計'!$C$33:$BF$40,13,0)</f>
        <v>404190</v>
      </c>
      <c r="L11" s="428" t="s">
        <v>125</v>
      </c>
      <c r="M11" s="432" t="str">
        <f>IF(K11&lt;K9,K9-K11,"0")</f>
        <v>0</v>
      </c>
    </row>
    <row r="12" spans="1:13" ht="24" customHeight="1">
      <c r="A12" s="435"/>
      <c r="B12" s="435"/>
      <c r="C12" s="435"/>
      <c r="D12" s="435"/>
      <c r="E12" s="435"/>
      <c r="F12" s="435"/>
      <c r="G12" s="435"/>
      <c r="H12" s="435"/>
    </row>
    <row r="13" spans="1:13" ht="20" customHeight="1">
      <c r="A13" s="435"/>
      <c r="B13" s="435"/>
      <c r="C13" s="435"/>
      <c r="D13" s="435"/>
      <c r="E13" s="435"/>
      <c r="F13" s="435"/>
      <c r="G13" s="435"/>
      <c r="H13" s="435"/>
    </row>
    <row r="14" spans="1:13" ht="96" customHeight="1">
      <c r="A14" s="435"/>
      <c r="B14" s="457" t="s">
        <v>220</v>
      </c>
      <c r="C14" s="457"/>
      <c r="D14" s="457"/>
      <c r="E14" s="457"/>
      <c r="F14" s="457"/>
      <c r="G14" s="457"/>
      <c r="H14" s="435"/>
    </row>
    <row r="15" spans="1:13" ht="70" customHeight="1">
      <c r="A15" s="435"/>
      <c r="B15" s="435"/>
      <c r="C15" s="435"/>
      <c r="D15" s="435"/>
      <c r="E15" s="435"/>
      <c r="F15" s="435"/>
      <c r="G15" s="435"/>
      <c r="H15" s="435"/>
    </row>
  </sheetData>
  <sheetProtection algorithmName="SHA-512" hashValue="oaRxtGQKtwCUkinAeoSuTeHokIXvygHROQa8DVZr2z7PKbtaKxtZ77Z424HgspPkuGp9qhd+QXvyakz4Rb7b0A==" saltValue="Lsf1UUNoOL1PnfzhjOr2Ww==" spinCount="100000" sheet="1" objects="1" scenarios="1"/>
  <mergeCells count="1">
    <mergeCell ref="B14:G14"/>
  </mergeCells>
  <pageMargins left="0.70866141732283472" right="0.70866141732283472" top="0.74803149606299213" bottom="0.74803149606299213" header="0.31496062992125984" footer="0.31496062992125984"/>
  <pageSetup paperSize="9" scale="82" orientation="landscape" verticalDpi="0" r:id="rId1"/>
  <headerFooter>
    <oddFooter>&amp;L_x000D_&amp;1#&amp;"Calibri"&amp;10&amp;K317100 Internal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7336EAA-1D38-418B-BE72-138D9751E6B6}">
          <x14:formula1>
            <xm:f>リスト値!$G$3:$G$9</xm:f>
          </x14:formula1>
          <xm:sqref>G7 C7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F7DF3-D7B1-4B4A-B765-C17058E7F6EE}">
  <sheetPr>
    <tabColor theme="6" tint="0.59999389629810485"/>
    <pageSetUpPr fitToPage="1"/>
  </sheetPr>
  <dimension ref="A1:Q15"/>
  <sheetViews>
    <sheetView showGridLines="0" zoomScaleNormal="100" zoomScaleSheetLayoutView="100" workbookViewId="0"/>
  </sheetViews>
  <sheetFormatPr defaultRowHeight="16.5" outlineLevelCol="1"/>
  <cols>
    <col min="1" max="1" width="2.1796875" style="354" customWidth="1"/>
    <col min="2" max="2" width="44.1796875" style="357" customWidth="1"/>
    <col min="3" max="3" width="24.90625" style="354" customWidth="1"/>
    <col min="4" max="5" width="5.36328125" style="354" customWidth="1"/>
    <col min="6" max="6" width="45.36328125" style="357" customWidth="1"/>
    <col min="7" max="7" width="23.453125" style="354" customWidth="1"/>
    <col min="8" max="9" width="5.7265625" style="354" customWidth="1"/>
    <col min="10" max="10" width="14.7265625" style="428" hidden="1" customWidth="1" outlineLevel="1"/>
    <col min="11" max="11" width="12.08984375" style="428" hidden="1" customWidth="1" outlineLevel="1"/>
    <col min="12" max="12" width="11.26953125" style="428" hidden="1" customWidth="1" outlineLevel="1"/>
    <col min="13" max="13" width="11.1796875" style="428" hidden="1" customWidth="1" outlineLevel="1"/>
    <col min="14" max="16" width="8.7265625" style="354" hidden="1" customWidth="1" outlineLevel="1"/>
    <col min="17" max="17" width="8.7265625" style="354" collapsed="1"/>
    <col min="18" max="16384" width="8.7265625" style="354"/>
  </cols>
  <sheetData>
    <row r="1" spans="1:13">
      <c r="A1" s="435"/>
      <c r="B1" s="449"/>
      <c r="C1" s="435"/>
      <c r="D1" s="435"/>
      <c r="E1" s="435"/>
      <c r="F1" s="449"/>
      <c r="G1" s="450" t="s">
        <v>216</v>
      </c>
      <c r="H1" s="435"/>
    </row>
    <row r="2" spans="1:13" ht="21.5" customHeight="1">
      <c r="A2" s="435"/>
      <c r="B2" s="458" t="s">
        <v>145</v>
      </c>
      <c r="C2" s="458"/>
      <c r="D2" s="458"/>
      <c r="E2" s="458"/>
      <c r="F2" s="458"/>
      <c r="G2" s="435"/>
      <c r="H2" s="435"/>
    </row>
    <row r="3" spans="1:13" ht="11" customHeight="1">
      <c r="A3" s="435"/>
      <c r="B3" s="436"/>
      <c r="C3" s="435"/>
      <c r="D3" s="435"/>
      <c r="E3" s="435"/>
      <c r="F3" s="449"/>
      <c r="G3" s="435"/>
      <c r="H3" s="435"/>
    </row>
    <row r="4" spans="1:13" ht="21.5" customHeight="1">
      <c r="A4" s="435"/>
      <c r="B4" s="451" t="s">
        <v>153</v>
      </c>
      <c r="C4" s="438"/>
      <c r="D4" s="435"/>
      <c r="E4" s="435"/>
      <c r="F4" s="452" t="s">
        <v>134</v>
      </c>
      <c r="G4" s="440"/>
      <c r="H4" s="435"/>
    </row>
    <row r="5" spans="1:13" ht="6" customHeight="1">
      <c r="A5" s="435"/>
      <c r="B5" s="449"/>
      <c r="C5" s="435"/>
      <c r="D5" s="435"/>
      <c r="E5" s="435"/>
      <c r="F5" s="449"/>
      <c r="G5" s="435"/>
      <c r="H5" s="435"/>
    </row>
    <row r="6" spans="1:13" ht="24" customHeight="1" thickBot="1">
      <c r="A6" s="435"/>
      <c r="B6" s="449"/>
      <c r="C6" s="435"/>
      <c r="D6" s="435"/>
      <c r="E6" s="435"/>
      <c r="F6" s="449"/>
      <c r="G6" s="435"/>
      <c r="H6" s="435"/>
    </row>
    <row r="7" spans="1:13" ht="31" customHeight="1" thickBot="1">
      <c r="A7" s="435"/>
      <c r="B7" s="453" t="s">
        <v>142</v>
      </c>
      <c r="C7" s="443" t="s">
        <v>88</v>
      </c>
      <c r="D7" s="435"/>
      <c r="E7" s="435"/>
      <c r="F7" s="453" t="s">
        <v>154</v>
      </c>
      <c r="G7" s="443" t="s">
        <v>90</v>
      </c>
      <c r="H7" s="435"/>
      <c r="J7" s="428" t="s">
        <v>118</v>
      </c>
      <c r="K7" s="429">
        <f>INDEX('24年時点_制度設計'!$C$32:$BF$40,MATCH($C$7,'24年時点_制度設計'!$C$32:$C$39,0),MATCH($G$7,'24年時点_制度設計'!$C$32:$BF$32,0))</f>
        <v>9.0700000000000003E-2</v>
      </c>
    </row>
    <row r="8" spans="1:13" ht="24" customHeight="1" thickBot="1">
      <c r="A8" s="435"/>
      <c r="B8" s="449"/>
      <c r="C8" s="435"/>
      <c r="D8" s="435"/>
      <c r="E8" s="435"/>
      <c r="F8" s="449"/>
      <c r="G8" s="435"/>
      <c r="H8" s="435"/>
      <c r="J8" s="428" t="s">
        <v>121</v>
      </c>
      <c r="K8" s="430">
        <f>ROUNDUP(((C9+C11)*K7),-1)</f>
        <v>28120</v>
      </c>
    </row>
    <row r="9" spans="1:13" ht="24" customHeight="1" thickBot="1">
      <c r="A9" s="435"/>
      <c r="B9" s="453" t="s">
        <v>143</v>
      </c>
      <c r="C9" s="444">
        <v>310000</v>
      </c>
      <c r="D9" s="435"/>
      <c r="E9" s="435"/>
      <c r="F9" s="455" t="s">
        <v>159</v>
      </c>
      <c r="G9" s="456">
        <f>IF(K9&gt;K11,K11,IF(K7&lt;0,"-",IF($C$9="","",IF(AND(RIGHT(C7,2)&gt;RIGHT(G7,2),K9&gt;K11),K11,IF(RIGHT(C7,2)&lt;RIGHT(G7,2),MAX(K9,K10),K9)))))</f>
        <v>350900</v>
      </c>
      <c r="H9" s="435"/>
      <c r="J9" s="428" t="s">
        <v>123</v>
      </c>
      <c r="K9" s="431">
        <f>SUM($C$9,C11,K8)</f>
        <v>338120</v>
      </c>
    </row>
    <row r="10" spans="1:13" ht="24" customHeight="1" thickBot="1">
      <c r="A10" s="435"/>
      <c r="B10" s="449"/>
      <c r="C10" s="435"/>
      <c r="D10" s="435"/>
      <c r="E10" s="435"/>
      <c r="F10" s="449"/>
      <c r="G10" s="435"/>
      <c r="H10" s="435"/>
      <c r="J10" s="428" t="s">
        <v>119</v>
      </c>
      <c r="K10" s="432">
        <f>VLOOKUP($G$7,'24年時点_制度設計'!$C$33:$BF$40,11,0)</f>
        <v>350900</v>
      </c>
    </row>
    <row r="11" spans="1:13" ht="30" customHeight="1" thickBot="1">
      <c r="A11" s="435"/>
      <c r="B11" s="453" t="s">
        <v>138</v>
      </c>
      <c r="C11" s="447"/>
      <c r="D11" s="435"/>
      <c r="E11" s="435"/>
      <c r="F11" s="453" t="s">
        <v>144</v>
      </c>
      <c r="G11" s="448" t="str">
        <f>IF(M11&lt;&gt;0,M11,"0")</f>
        <v>0</v>
      </c>
      <c r="H11" s="435"/>
      <c r="J11" s="428" t="s">
        <v>120</v>
      </c>
      <c r="K11" s="432">
        <f>VLOOKUP($G$7,'24年時点_制度設計'!$C$33:$BF$40,13,0)</f>
        <v>526350</v>
      </c>
      <c r="L11" s="428" t="s">
        <v>125</v>
      </c>
      <c r="M11" s="432" t="str">
        <f>IF(K11&lt;K9,K9-K11,"0")</f>
        <v>0</v>
      </c>
    </row>
    <row r="12" spans="1:13" ht="24" customHeight="1">
      <c r="A12" s="435"/>
      <c r="B12" s="449"/>
      <c r="C12" s="435"/>
      <c r="D12" s="435"/>
      <c r="E12" s="435"/>
      <c r="F12" s="449"/>
      <c r="G12" s="435"/>
      <c r="H12" s="435"/>
    </row>
    <row r="13" spans="1:13" ht="20" customHeight="1">
      <c r="A13" s="435"/>
      <c r="B13" s="449"/>
      <c r="C13" s="435"/>
      <c r="D13" s="435"/>
      <c r="E13" s="435"/>
      <c r="F13" s="449"/>
      <c r="G13" s="435"/>
      <c r="H13" s="435"/>
    </row>
    <row r="14" spans="1:13" ht="124" customHeight="1">
      <c r="A14" s="435"/>
      <c r="B14" s="457" t="s">
        <v>221</v>
      </c>
      <c r="C14" s="457"/>
      <c r="D14" s="457"/>
      <c r="E14" s="457"/>
      <c r="F14" s="457"/>
      <c r="G14" s="457"/>
      <c r="H14" s="435"/>
    </row>
    <row r="15" spans="1:13" ht="70" customHeight="1">
      <c r="A15" s="435"/>
      <c r="B15" s="449"/>
      <c r="C15" s="435"/>
      <c r="D15" s="435"/>
      <c r="E15" s="435"/>
      <c r="F15" s="449"/>
      <c r="G15" s="435"/>
      <c r="H15" s="435"/>
    </row>
  </sheetData>
  <sheetProtection algorithmName="SHA-512" hashValue="XlsbIV6+b4z7pOFXa0cl7u3G+TptFcqDtVZiaTgR/5oxiiheWbgBhRkOWwcUvQp0wV9YvuAbHl3OXfzRu41e2w==" saltValue="c5hNn4Sjd/IRqPR1UN/xBA==" spinCount="100000" sheet="1" objects="1" scenarios="1"/>
  <mergeCells count="2">
    <mergeCell ref="B14:G14"/>
    <mergeCell ref="B2:F2"/>
  </mergeCells>
  <pageMargins left="0.70866141732283472" right="0.70866141732283472" top="0.74803149606299213" bottom="0.74803149606299213" header="0.31496062992125984" footer="0.31496062992125984"/>
  <pageSetup paperSize="9" scale="82" orientation="landscape" verticalDpi="0" r:id="rId1"/>
  <headerFooter>
    <oddFooter>&amp;L_x000D_&amp;1#&amp;"Calibri"&amp;10&amp;K317100 Internal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9704296-4D79-451E-8C90-A704F1C0D89C}">
          <x14:formula1>
            <xm:f>リスト値!$G$3:$G$9</xm:f>
          </x14:formula1>
          <xm:sqref>G7 C7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DA984-5B47-4FCA-8000-B560EB2D74FD}">
  <dimension ref="B1:AC43"/>
  <sheetViews>
    <sheetView topLeftCell="E1" workbookViewId="0">
      <selection activeCell="Q14" sqref="Q14"/>
    </sheetView>
  </sheetViews>
  <sheetFormatPr defaultColWidth="8.6328125" defaultRowHeight="16"/>
  <cols>
    <col min="1" max="1" width="2.36328125" style="358" customWidth="1"/>
    <col min="2" max="2" width="3.7265625" style="358" customWidth="1"/>
    <col min="3" max="3" width="8.7265625" style="358" customWidth="1"/>
    <col min="4" max="4" width="10.453125" style="358" customWidth="1"/>
    <col min="5" max="5" width="8.81640625" style="358" customWidth="1"/>
    <col min="6" max="6" width="9" style="358" customWidth="1"/>
    <col min="7" max="7" width="9.36328125" style="358" customWidth="1"/>
    <col min="8" max="20" width="10.453125" style="358" customWidth="1"/>
    <col min="21" max="27" width="8.6328125" style="358"/>
    <col min="28" max="28" width="6.81640625" style="358" customWidth="1"/>
    <col min="29" max="29" width="11.36328125" style="358" customWidth="1"/>
    <col min="30" max="16384" width="8.6328125" style="358"/>
  </cols>
  <sheetData>
    <row r="1" spans="2:29">
      <c r="E1" s="359">
        <v>1</v>
      </c>
      <c r="F1" s="359">
        <v>2</v>
      </c>
      <c r="G1" s="359">
        <v>3</v>
      </c>
      <c r="H1" s="359">
        <v>4</v>
      </c>
      <c r="I1" s="359">
        <v>5</v>
      </c>
      <c r="J1" s="359">
        <v>6</v>
      </c>
      <c r="K1" s="359">
        <v>7</v>
      </c>
      <c r="L1" s="359">
        <v>8</v>
      </c>
      <c r="M1" s="359">
        <v>9</v>
      </c>
      <c r="N1" s="359">
        <v>10</v>
      </c>
      <c r="O1" s="359">
        <v>11</v>
      </c>
      <c r="P1" s="359">
        <v>12</v>
      </c>
      <c r="Q1" s="359">
        <v>13</v>
      </c>
      <c r="R1" s="359">
        <v>14</v>
      </c>
      <c r="S1" s="359">
        <v>15</v>
      </c>
      <c r="T1" s="359">
        <v>16</v>
      </c>
      <c r="U1" s="359">
        <v>17</v>
      </c>
      <c r="V1" s="359">
        <v>18</v>
      </c>
      <c r="W1" s="359">
        <v>19</v>
      </c>
      <c r="X1" s="359">
        <v>20</v>
      </c>
      <c r="Y1" s="359">
        <v>21</v>
      </c>
      <c r="Z1" s="359">
        <v>22</v>
      </c>
      <c r="AA1" s="359">
        <v>23</v>
      </c>
      <c r="AB1" s="359">
        <v>24</v>
      </c>
      <c r="AC1" s="359">
        <v>25</v>
      </c>
    </row>
    <row r="2" spans="2:29" ht="17.5">
      <c r="B2" s="360" t="s">
        <v>161</v>
      </c>
      <c r="I2" s="361" t="s">
        <v>162</v>
      </c>
      <c r="U2" s="362" t="s">
        <v>163</v>
      </c>
      <c r="V2" s="362" t="s">
        <v>164</v>
      </c>
    </row>
    <row r="3" spans="2:29">
      <c r="I3" s="363" t="s">
        <v>165</v>
      </c>
      <c r="U3" s="364">
        <v>0.3</v>
      </c>
      <c r="V3" s="364">
        <v>0.2</v>
      </c>
    </row>
    <row r="4" spans="2:29">
      <c r="U4" s="365">
        <f t="shared" ref="U4:AA4" si="0">_xlfn.XLOOKUP(U6,$E$15:$E$21,$R$15:$R$21,0)</f>
        <v>3056400</v>
      </c>
      <c r="V4" s="365">
        <f t="shared" si="0"/>
        <v>3645360</v>
      </c>
      <c r="W4" s="365">
        <f t="shared" si="0"/>
        <v>4443480</v>
      </c>
      <c r="X4" s="365">
        <f t="shared" si="0"/>
        <v>4644900</v>
      </c>
      <c r="Y4" s="365">
        <f t="shared" si="0"/>
        <v>5249160</v>
      </c>
      <c r="Z4" s="365">
        <f t="shared" si="0"/>
        <v>6720480</v>
      </c>
      <c r="AA4" s="365">
        <f t="shared" si="0"/>
        <v>8864460</v>
      </c>
    </row>
    <row r="5" spans="2:29">
      <c r="F5" s="361"/>
      <c r="G5" s="361"/>
      <c r="H5" s="366" t="s">
        <v>166</v>
      </c>
      <c r="I5" s="367"/>
      <c r="J5" s="367"/>
      <c r="K5" s="368"/>
      <c r="L5" s="369"/>
      <c r="M5" s="366" t="s">
        <v>167</v>
      </c>
      <c r="N5" s="367"/>
      <c r="O5" s="367"/>
      <c r="P5" s="367"/>
      <c r="Q5" s="366" t="s">
        <v>168</v>
      </c>
      <c r="R5" s="367"/>
      <c r="S5" s="367"/>
      <c r="T5" s="368"/>
      <c r="U5" s="370" t="s">
        <v>169</v>
      </c>
      <c r="V5" s="370"/>
      <c r="W5" s="370"/>
      <c r="X5" s="370"/>
      <c r="Y5" s="370"/>
      <c r="Z5" s="370"/>
      <c r="AA5" s="370"/>
    </row>
    <row r="6" spans="2:29" s="371" customFormat="1" ht="16.5" thickBot="1">
      <c r="D6" s="372" t="s">
        <v>170</v>
      </c>
      <c r="E6" s="373" t="s">
        <v>171</v>
      </c>
      <c r="F6" s="374" t="s">
        <v>172</v>
      </c>
      <c r="G6" s="374" t="s">
        <v>173</v>
      </c>
      <c r="H6" s="375" t="s">
        <v>27</v>
      </c>
      <c r="I6" s="374" t="s">
        <v>174</v>
      </c>
      <c r="J6" s="374" t="s">
        <v>29</v>
      </c>
      <c r="K6" s="376" t="s">
        <v>175</v>
      </c>
      <c r="L6" s="374" t="s">
        <v>176</v>
      </c>
      <c r="M6" s="375" t="s">
        <v>177</v>
      </c>
      <c r="N6" s="374" t="s">
        <v>178</v>
      </c>
      <c r="O6" s="374" t="s">
        <v>179</v>
      </c>
      <c r="P6" s="374" t="s">
        <v>180</v>
      </c>
      <c r="Q6" s="375" t="s">
        <v>177</v>
      </c>
      <c r="R6" s="374" t="s">
        <v>178</v>
      </c>
      <c r="S6" s="374" t="s">
        <v>179</v>
      </c>
      <c r="T6" s="376" t="s">
        <v>180</v>
      </c>
      <c r="U6" s="374" t="s">
        <v>181</v>
      </c>
      <c r="V6" s="374" t="s">
        <v>182</v>
      </c>
      <c r="W6" s="374" t="s">
        <v>183</v>
      </c>
      <c r="X6" s="374" t="s">
        <v>184</v>
      </c>
      <c r="Y6" s="374" t="s">
        <v>185</v>
      </c>
      <c r="Z6" s="374" t="s">
        <v>186</v>
      </c>
      <c r="AA6" s="377" t="s">
        <v>187</v>
      </c>
      <c r="AC6" s="378" t="s">
        <v>188</v>
      </c>
    </row>
    <row r="7" spans="2:29" ht="17" thickTop="1" thickBot="1">
      <c r="C7" s="358" t="s">
        <v>189</v>
      </c>
      <c r="D7" s="379" t="s">
        <v>190</v>
      </c>
      <c r="E7" s="380" t="s">
        <v>187</v>
      </c>
      <c r="F7" s="381" t="s">
        <v>191</v>
      </c>
      <c r="G7" s="382">
        <v>0.2</v>
      </c>
      <c r="H7" s="383">
        <f>H15</f>
        <v>7330000</v>
      </c>
      <c r="I7" s="384">
        <f t="shared" ref="I7:J7" si="1">I15</f>
        <v>8864351</v>
      </c>
      <c r="J7" s="384">
        <f t="shared" si="1"/>
        <v>10637221.199999999</v>
      </c>
      <c r="K7" s="385"/>
      <c r="L7" s="386"/>
      <c r="M7" s="383">
        <f t="shared" ref="M7:O7" si="2">M15</f>
        <v>407230</v>
      </c>
      <c r="N7" s="384">
        <f t="shared" si="2"/>
        <v>492470</v>
      </c>
      <c r="O7" s="384">
        <f t="shared" si="2"/>
        <v>590970</v>
      </c>
      <c r="P7" s="381"/>
      <c r="Q7" s="387">
        <f t="shared" ref="Q7:S7" si="3">Q15</f>
        <v>7330140</v>
      </c>
      <c r="R7" s="384">
        <f t="shared" si="3"/>
        <v>8864460</v>
      </c>
      <c r="S7" s="384">
        <f t="shared" si="3"/>
        <v>10637460</v>
      </c>
      <c r="T7" s="385"/>
      <c r="U7" s="405">
        <f t="shared" ref="U7:AA13" si="4">U15</f>
        <v>0</v>
      </c>
      <c r="V7" s="405">
        <f t="shared" si="4"/>
        <v>0</v>
      </c>
      <c r="W7" s="405">
        <f t="shared" si="4"/>
        <v>-9.9699999999999997E-2</v>
      </c>
      <c r="X7" s="405">
        <f t="shared" si="4"/>
        <v>-9.5200000000000007E-2</v>
      </c>
      <c r="Y7" s="405">
        <f t="shared" si="4"/>
        <v>-8.1600000000000006E-2</v>
      </c>
      <c r="Z7" s="405">
        <f t="shared" si="4"/>
        <v>-4.8399999999999999E-2</v>
      </c>
      <c r="AA7" s="388">
        <f t="shared" si="4"/>
        <v>0</v>
      </c>
      <c r="AB7" s="389" t="s">
        <v>192</v>
      </c>
      <c r="AC7" s="390">
        <f>MAX(O7,P7)</f>
        <v>590970</v>
      </c>
    </row>
    <row r="8" spans="2:29">
      <c r="D8" s="379" t="s">
        <v>193</v>
      </c>
      <c r="E8" s="391" t="s">
        <v>194</v>
      </c>
      <c r="F8" s="382">
        <v>-0.2</v>
      </c>
      <c r="G8" s="392">
        <f>IF(I8*1.3&gt;K8,0.2,0.3)</f>
        <v>0.3</v>
      </c>
      <c r="H8" s="387">
        <f t="shared" ref="H8:K13" si="5">H16+$E$26*8</f>
        <v>5797136</v>
      </c>
      <c r="I8" s="384">
        <f t="shared" si="5"/>
        <v>7208420</v>
      </c>
      <c r="J8" s="384">
        <f t="shared" si="5"/>
        <v>9325346</v>
      </c>
      <c r="K8" s="393">
        <f t="shared" si="5"/>
        <v>9622600</v>
      </c>
      <c r="L8" s="384">
        <v>108000</v>
      </c>
      <c r="M8" s="387">
        <f t="shared" ref="M8:M13" si="6">ROUNDUP($N8*(1+F8),-1)</f>
        <v>315580</v>
      </c>
      <c r="N8" s="384">
        <f t="shared" ref="N8:N13" si="7">ROUNDUP((I8-$L8)/18,-1)</f>
        <v>394470</v>
      </c>
      <c r="O8" s="384">
        <f t="shared" ref="O8:O12" si="8">ROUNDUP($N8*(1+G8),-1)</f>
        <v>512820</v>
      </c>
      <c r="P8" s="394">
        <f>ROUNDUP((K8-$L8)/18,-1)</f>
        <v>528590</v>
      </c>
      <c r="Q8" s="387">
        <f t="shared" ref="Q8:T13" si="9">M8*18</f>
        <v>5680440</v>
      </c>
      <c r="R8" s="384">
        <f t="shared" si="9"/>
        <v>7100460</v>
      </c>
      <c r="S8" s="384">
        <f t="shared" si="9"/>
        <v>9230760</v>
      </c>
      <c r="T8" s="394">
        <f t="shared" si="9"/>
        <v>9514620</v>
      </c>
      <c r="U8" s="421" t="s">
        <v>191</v>
      </c>
      <c r="V8" s="422" t="s">
        <v>191</v>
      </c>
      <c r="W8" s="408">
        <f t="shared" si="4"/>
        <v>-6.7799999999999999E-2</v>
      </c>
      <c r="X8" s="408">
        <f t="shared" si="4"/>
        <v>-6.1800000000000001E-2</v>
      </c>
      <c r="Y8" s="408">
        <f t="shared" si="4"/>
        <v>-4.3799999999999999E-2</v>
      </c>
      <c r="Z8" s="409">
        <f t="shared" si="4"/>
        <v>0</v>
      </c>
      <c r="AA8" s="388">
        <f t="shared" si="4"/>
        <v>9.5699999999999993E-2</v>
      </c>
      <c r="AC8" s="390">
        <f t="shared" ref="AC8:AC21" si="10">MAX(O8,P8)</f>
        <v>528590</v>
      </c>
    </row>
    <row r="9" spans="2:29">
      <c r="D9" s="379" t="s">
        <v>195</v>
      </c>
      <c r="E9" s="391" t="s">
        <v>185</v>
      </c>
      <c r="F9" s="382">
        <v>-0.2</v>
      </c>
      <c r="G9" s="382">
        <v>0.3</v>
      </c>
      <c r="H9" s="387">
        <f t="shared" si="5"/>
        <v>4620000</v>
      </c>
      <c r="I9" s="384">
        <f t="shared" si="5"/>
        <v>5737000</v>
      </c>
      <c r="J9" s="384">
        <f t="shared" si="5"/>
        <v>7412500</v>
      </c>
      <c r="K9" s="393">
        <f t="shared" si="5"/>
        <v>7822600</v>
      </c>
      <c r="L9" s="384">
        <v>108000</v>
      </c>
      <c r="M9" s="387">
        <f t="shared" si="6"/>
        <v>250190</v>
      </c>
      <c r="N9" s="384">
        <f t="shared" si="7"/>
        <v>312730</v>
      </c>
      <c r="O9" s="384">
        <f t="shared" si="8"/>
        <v>406550</v>
      </c>
      <c r="P9" s="394">
        <f>ROUNDUP((K9-$L9)/18,-1)</f>
        <v>428590</v>
      </c>
      <c r="Q9" s="387">
        <f t="shared" si="9"/>
        <v>4503420</v>
      </c>
      <c r="R9" s="384">
        <f t="shared" si="9"/>
        <v>5629140</v>
      </c>
      <c r="S9" s="384">
        <f t="shared" si="9"/>
        <v>7317900</v>
      </c>
      <c r="T9" s="394">
        <f t="shared" si="9"/>
        <v>7714620</v>
      </c>
      <c r="U9" s="423" t="s">
        <v>191</v>
      </c>
      <c r="V9" s="420" t="s">
        <v>191</v>
      </c>
      <c r="W9" s="388">
        <f t="shared" si="4"/>
        <v>-3.0700000000000002E-2</v>
      </c>
      <c r="X9" s="388">
        <f t="shared" si="4"/>
        <v>-2.3E-2</v>
      </c>
      <c r="Y9" s="388">
        <f t="shared" si="4"/>
        <v>0</v>
      </c>
      <c r="Z9" s="411">
        <f t="shared" si="4"/>
        <v>8.4099999999999994E-2</v>
      </c>
      <c r="AA9" s="388">
        <f t="shared" si="4"/>
        <v>0.20660000000000001</v>
      </c>
      <c r="AC9" s="390">
        <f t="shared" si="10"/>
        <v>428590</v>
      </c>
    </row>
    <row r="10" spans="2:29">
      <c r="D10" s="379"/>
      <c r="E10" s="391" t="s">
        <v>196</v>
      </c>
      <c r="F10" s="382">
        <v>-0.2</v>
      </c>
      <c r="G10" s="382">
        <v>0.3</v>
      </c>
      <c r="H10" s="387">
        <f t="shared" si="5"/>
        <v>4136625.6</v>
      </c>
      <c r="I10" s="384">
        <f t="shared" si="5"/>
        <v>5132782</v>
      </c>
      <c r="J10" s="384">
        <f t="shared" si="5"/>
        <v>6627016.6000000006</v>
      </c>
      <c r="K10" s="385"/>
      <c r="L10" s="384">
        <v>108000</v>
      </c>
      <c r="M10" s="387">
        <f t="shared" si="6"/>
        <v>223330</v>
      </c>
      <c r="N10" s="384">
        <f t="shared" si="7"/>
        <v>279160</v>
      </c>
      <c r="O10" s="384">
        <f t="shared" si="8"/>
        <v>362910</v>
      </c>
      <c r="P10" s="381"/>
      <c r="Q10" s="387">
        <f t="shared" si="9"/>
        <v>4019940</v>
      </c>
      <c r="R10" s="384">
        <f t="shared" si="9"/>
        <v>5024880</v>
      </c>
      <c r="S10" s="384">
        <f t="shared" si="9"/>
        <v>6532380</v>
      </c>
      <c r="T10" s="381"/>
      <c r="U10" s="423" t="s">
        <v>191</v>
      </c>
      <c r="V10" s="420" t="s">
        <v>191</v>
      </c>
      <c r="W10" s="388">
        <f t="shared" si="4"/>
        <v>-8.6999999999999994E-3</v>
      </c>
      <c r="X10" s="388">
        <f t="shared" si="4"/>
        <v>0</v>
      </c>
      <c r="Y10" s="388">
        <f t="shared" si="4"/>
        <v>3.9E-2</v>
      </c>
      <c r="Z10" s="411">
        <f t="shared" si="4"/>
        <v>0.1341</v>
      </c>
      <c r="AA10" s="388">
        <f t="shared" si="4"/>
        <v>0.27250000000000002</v>
      </c>
      <c r="AC10" s="390">
        <f t="shared" si="10"/>
        <v>362910</v>
      </c>
    </row>
    <row r="11" spans="2:29">
      <c r="D11" s="379" t="s">
        <v>197</v>
      </c>
      <c r="E11" s="391" t="s">
        <v>198</v>
      </c>
      <c r="F11" s="382">
        <v>-0.2</v>
      </c>
      <c r="G11" s="382">
        <v>0.3</v>
      </c>
      <c r="H11" s="387">
        <f t="shared" si="5"/>
        <v>3975500.8000000003</v>
      </c>
      <c r="I11" s="384">
        <f t="shared" si="5"/>
        <v>4931376</v>
      </c>
      <c r="J11" s="384">
        <f t="shared" si="5"/>
        <v>6365188.7999999998</v>
      </c>
      <c r="K11" s="385"/>
      <c r="L11" s="384">
        <v>108000</v>
      </c>
      <c r="M11" s="387">
        <f t="shared" si="6"/>
        <v>214380</v>
      </c>
      <c r="N11" s="384">
        <f t="shared" si="7"/>
        <v>267970</v>
      </c>
      <c r="O11" s="384">
        <f t="shared" si="8"/>
        <v>348370</v>
      </c>
      <c r="P11" s="381"/>
      <c r="Q11" s="387">
        <f t="shared" si="9"/>
        <v>3858840</v>
      </c>
      <c r="R11" s="384">
        <f t="shared" si="9"/>
        <v>4823460</v>
      </c>
      <c r="S11" s="384">
        <f t="shared" si="9"/>
        <v>6270660</v>
      </c>
      <c r="T11" s="381"/>
      <c r="U11" s="423" t="s">
        <v>191</v>
      </c>
      <c r="V11" s="420" t="s">
        <v>191</v>
      </c>
      <c r="W11" s="388">
        <f t="shared" si="4"/>
        <v>0</v>
      </c>
      <c r="X11" s="388">
        <f t="shared" si="4"/>
        <v>1.3599999999999999E-2</v>
      </c>
      <c r="Y11" s="388">
        <f t="shared" si="4"/>
        <v>5.4399999999999997E-2</v>
      </c>
      <c r="Z11" s="411">
        <f t="shared" si="4"/>
        <v>0.1537</v>
      </c>
      <c r="AA11" s="388">
        <f t="shared" si="4"/>
        <v>0.29849999999999999</v>
      </c>
      <c r="AC11" s="390">
        <f t="shared" si="10"/>
        <v>348370</v>
      </c>
    </row>
    <row r="12" spans="2:29">
      <c r="D12" s="379" t="s">
        <v>199</v>
      </c>
      <c r="E12" s="391" t="s">
        <v>200</v>
      </c>
      <c r="F12" s="382">
        <v>-0.2</v>
      </c>
      <c r="G12" s="382">
        <v>0.2</v>
      </c>
      <c r="H12" s="387">
        <f t="shared" si="5"/>
        <v>3337012</v>
      </c>
      <c r="I12" s="384">
        <f t="shared" si="5"/>
        <v>4133265</v>
      </c>
      <c r="J12" s="384">
        <f t="shared" si="5"/>
        <v>4929518</v>
      </c>
      <c r="K12" s="385"/>
      <c r="L12" s="384">
        <v>108000</v>
      </c>
      <c r="M12" s="387">
        <f t="shared" si="6"/>
        <v>178910</v>
      </c>
      <c r="N12" s="384">
        <f t="shared" si="7"/>
        <v>223630</v>
      </c>
      <c r="O12" s="384">
        <f t="shared" si="8"/>
        <v>268360</v>
      </c>
      <c r="P12" s="381"/>
      <c r="Q12" s="387">
        <f t="shared" si="9"/>
        <v>3220380</v>
      </c>
      <c r="R12" s="384">
        <f t="shared" si="9"/>
        <v>4025340</v>
      </c>
      <c r="S12" s="384">
        <f t="shared" si="9"/>
        <v>4830480</v>
      </c>
      <c r="T12" s="381"/>
      <c r="U12" s="423" t="s">
        <v>191</v>
      </c>
      <c r="V12" s="388">
        <f t="shared" si="4"/>
        <v>0</v>
      </c>
      <c r="W12" s="388">
        <f t="shared" si="4"/>
        <v>6.5699999999999995E-2</v>
      </c>
      <c r="X12" s="388">
        <f t="shared" si="4"/>
        <v>8.2299999999999998E-2</v>
      </c>
      <c r="Y12" s="420" t="s">
        <v>191</v>
      </c>
      <c r="Z12" s="424" t="s">
        <v>191</v>
      </c>
      <c r="AA12" s="388">
        <f t="shared" si="4"/>
        <v>0.42949999999999999</v>
      </c>
      <c r="AC12" s="390">
        <f t="shared" si="10"/>
        <v>268360</v>
      </c>
    </row>
    <row r="13" spans="2:29" ht="16.5" thickBot="1">
      <c r="D13" s="395" t="s">
        <v>201</v>
      </c>
      <c r="E13" s="381" t="s">
        <v>181</v>
      </c>
      <c r="F13" s="382">
        <v>-0.2</v>
      </c>
      <c r="G13" s="382">
        <v>0.2</v>
      </c>
      <c r="H13" s="387">
        <f t="shared" si="5"/>
        <v>2865840</v>
      </c>
      <c r="I13" s="384">
        <f t="shared" si="5"/>
        <v>3544300</v>
      </c>
      <c r="J13" s="384">
        <f t="shared" si="5"/>
        <v>4222760</v>
      </c>
      <c r="K13" s="385"/>
      <c r="L13" s="384">
        <v>108000</v>
      </c>
      <c r="M13" s="387">
        <f t="shared" si="6"/>
        <v>152730</v>
      </c>
      <c r="N13" s="384">
        <f t="shared" si="7"/>
        <v>190910</v>
      </c>
      <c r="O13" s="384">
        <f>ROUNDUP($N13*(1+G13),-1)</f>
        <v>229100</v>
      </c>
      <c r="P13" s="381"/>
      <c r="Q13" s="387">
        <f t="shared" si="9"/>
        <v>2749140</v>
      </c>
      <c r="R13" s="384">
        <f t="shared" si="9"/>
        <v>3436380</v>
      </c>
      <c r="S13" s="384">
        <f t="shared" si="9"/>
        <v>4123800</v>
      </c>
      <c r="T13" s="381"/>
      <c r="U13" s="413">
        <f t="shared" si="4"/>
        <v>0</v>
      </c>
      <c r="V13" s="414">
        <f t="shared" si="4"/>
        <v>5.7799999999999997E-2</v>
      </c>
      <c r="W13" s="425" t="s">
        <v>191</v>
      </c>
      <c r="X13" s="425" t="s">
        <v>191</v>
      </c>
      <c r="Y13" s="425" t="s">
        <v>191</v>
      </c>
      <c r="Z13" s="426" t="s">
        <v>191</v>
      </c>
      <c r="AA13" s="388">
        <f t="shared" si="4"/>
        <v>0.57010000000000005</v>
      </c>
      <c r="AC13" s="390">
        <f t="shared" si="10"/>
        <v>229100</v>
      </c>
    </row>
    <row r="14" spans="2:29">
      <c r="D14" s="361"/>
      <c r="E14" s="361"/>
      <c r="F14" s="361"/>
      <c r="G14" s="361"/>
      <c r="H14" s="361"/>
      <c r="I14" s="361"/>
      <c r="J14" s="361"/>
      <c r="K14" s="361"/>
      <c r="L14" s="361"/>
      <c r="M14" s="361"/>
      <c r="N14" s="361"/>
      <c r="O14" s="396"/>
      <c r="P14" s="361"/>
      <c r="Q14" s="361"/>
      <c r="R14" s="361"/>
      <c r="S14" s="361"/>
      <c r="T14" s="361"/>
      <c r="U14" s="361"/>
      <c r="V14" s="361"/>
      <c r="W14" s="361"/>
      <c r="AC14" s="390"/>
    </row>
    <row r="15" spans="2:29" ht="16.5" thickBot="1">
      <c r="C15" s="358" t="s">
        <v>202</v>
      </c>
      <c r="D15" s="379" t="s">
        <v>190</v>
      </c>
      <c r="E15" s="380" t="s">
        <v>187</v>
      </c>
      <c r="F15" s="381" t="s">
        <v>191</v>
      </c>
      <c r="G15" s="382">
        <v>0.2</v>
      </c>
      <c r="H15" s="383">
        <v>7330000</v>
      </c>
      <c r="I15" s="384">
        <v>8864351</v>
      </c>
      <c r="J15" s="384">
        <f>I15*(1+G15)</f>
        <v>10637221.199999999</v>
      </c>
      <c r="K15" s="385"/>
      <c r="L15" s="386"/>
      <c r="M15" s="383">
        <f>ROUNDUP((H15-$L15)/18,-1)</f>
        <v>407230</v>
      </c>
      <c r="N15" s="384">
        <f>ROUNDUP((I15-$L15)/18,-1)</f>
        <v>492470</v>
      </c>
      <c r="O15" s="384">
        <f>ROUNDUP($N15*(1+G15),-1)</f>
        <v>590970</v>
      </c>
      <c r="P15" s="381"/>
      <c r="Q15" s="387">
        <f>M15*18</f>
        <v>7330140</v>
      </c>
      <c r="R15" s="384">
        <f>N15*18</f>
        <v>8864460</v>
      </c>
      <c r="S15" s="384">
        <f>O15*18</f>
        <v>10637460</v>
      </c>
      <c r="T15" s="385"/>
      <c r="U15" s="404"/>
      <c r="V15" s="404"/>
      <c r="W15" s="405">
        <f t="shared" ref="U15:AA21" si="11">IF(W$4&gt;$R15,ROUND((W$4-$R15)/$R15*$U$3,4),ROUND((W$4-$R15)/$R15*$V$3,4))</f>
        <v>-9.9699999999999997E-2</v>
      </c>
      <c r="X15" s="405">
        <f t="shared" si="11"/>
        <v>-9.5200000000000007E-2</v>
      </c>
      <c r="Y15" s="405">
        <f t="shared" si="11"/>
        <v>-8.1600000000000006E-2</v>
      </c>
      <c r="Z15" s="405">
        <f t="shared" si="11"/>
        <v>-4.8399999999999999E-2</v>
      </c>
      <c r="AA15" s="388">
        <f t="shared" si="11"/>
        <v>0</v>
      </c>
      <c r="AC15" s="390">
        <f t="shared" si="10"/>
        <v>590970</v>
      </c>
    </row>
    <row r="16" spans="2:29">
      <c r="D16" s="379" t="s">
        <v>193</v>
      </c>
      <c r="E16" s="391" t="s">
        <v>194</v>
      </c>
      <c r="F16" s="382">
        <v>-0.2</v>
      </c>
      <c r="G16" s="392">
        <f>IF(I16*1.3&gt;K16,0.2,0.3)</f>
        <v>0.3</v>
      </c>
      <c r="H16" s="387">
        <f>I16*(1+F16)</f>
        <v>5645136</v>
      </c>
      <c r="I16" s="384">
        <v>7056420</v>
      </c>
      <c r="J16" s="384">
        <f>I16*(1+G16)</f>
        <v>9173346</v>
      </c>
      <c r="K16" s="393">
        <v>9470600</v>
      </c>
      <c r="L16" s="384">
        <v>336000</v>
      </c>
      <c r="M16" s="387">
        <f>ROUNDUP($N16*(1+F16),-1)</f>
        <v>298690</v>
      </c>
      <c r="N16" s="384">
        <f>ROUNDUP((I16-$L16)/18,-1)</f>
        <v>373360</v>
      </c>
      <c r="O16" s="384">
        <f>ROUNDUP($N16*(1+G16),-1)</f>
        <v>485370</v>
      </c>
      <c r="P16" s="394">
        <f>ROUNDUP((K16-$L16)/18,-1)</f>
        <v>507480</v>
      </c>
      <c r="Q16" s="387">
        <f t="shared" ref="Q16:T21" si="12">M16*18</f>
        <v>5376420</v>
      </c>
      <c r="R16" s="384">
        <f t="shared" si="12"/>
        <v>6720480</v>
      </c>
      <c r="S16" s="384">
        <f t="shared" si="12"/>
        <v>8736660</v>
      </c>
      <c r="T16" s="394">
        <f t="shared" si="12"/>
        <v>9134640</v>
      </c>
      <c r="U16" s="421" t="s">
        <v>191</v>
      </c>
      <c r="V16" s="422" t="s">
        <v>191</v>
      </c>
      <c r="W16" s="408">
        <f t="shared" si="11"/>
        <v>-6.7799999999999999E-2</v>
      </c>
      <c r="X16" s="408">
        <f t="shared" si="11"/>
        <v>-6.1800000000000001E-2</v>
      </c>
      <c r="Y16" s="408">
        <f t="shared" si="11"/>
        <v>-4.3799999999999999E-2</v>
      </c>
      <c r="Z16" s="409">
        <f t="shared" si="11"/>
        <v>0</v>
      </c>
      <c r="AA16" s="388">
        <f t="shared" si="11"/>
        <v>9.5699999999999993E-2</v>
      </c>
      <c r="AC16" s="390">
        <f t="shared" si="10"/>
        <v>507480</v>
      </c>
    </row>
    <row r="17" spans="2:29">
      <c r="D17" s="379" t="s">
        <v>195</v>
      </c>
      <c r="E17" s="391" t="s">
        <v>185</v>
      </c>
      <c r="F17" s="382">
        <v>-0.2</v>
      </c>
      <c r="G17" s="382">
        <v>0.3</v>
      </c>
      <c r="H17" s="387">
        <f t="shared" ref="H17:H21" si="13">I17*(1+F17)</f>
        <v>4468000</v>
      </c>
      <c r="I17" s="384">
        <v>5585000</v>
      </c>
      <c r="J17" s="384">
        <f t="shared" ref="J17:J21" si="14">I17*(1+G17)</f>
        <v>7260500</v>
      </c>
      <c r="K17" s="393">
        <v>7670600</v>
      </c>
      <c r="L17" s="384">
        <v>336000</v>
      </c>
      <c r="M17" s="387">
        <f>ROUNDUP($N17*(1+F17),-1)</f>
        <v>233300</v>
      </c>
      <c r="N17" s="384">
        <f t="shared" ref="N17:N21" si="15">ROUNDUP((I17-$L17)/18,-1)</f>
        <v>291620</v>
      </c>
      <c r="O17" s="384">
        <f t="shared" ref="O17:O21" si="16">ROUNDUP($N17*(1+G17),-1)</f>
        <v>379110</v>
      </c>
      <c r="P17" s="394">
        <f t="shared" ref="P17" si="17">ROUNDUP((K17-$L17)/18,-1)</f>
        <v>407480</v>
      </c>
      <c r="Q17" s="387">
        <f t="shared" si="12"/>
        <v>4199400</v>
      </c>
      <c r="R17" s="384">
        <f t="shared" si="12"/>
        <v>5249160</v>
      </c>
      <c r="S17" s="384">
        <f t="shared" si="12"/>
        <v>6823980</v>
      </c>
      <c r="T17" s="394">
        <f t="shared" si="12"/>
        <v>7334640</v>
      </c>
      <c r="U17" s="423" t="s">
        <v>191</v>
      </c>
      <c r="V17" s="420" t="s">
        <v>191</v>
      </c>
      <c r="W17" s="388">
        <f t="shared" si="11"/>
        <v>-3.0700000000000002E-2</v>
      </c>
      <c r="X17" s="388">
        <f t="shared" si="11"/>
        <v>-2.3E-2</v>
      </c>
      <c r="Y17" s="388">
        <f t="shared" si="11"/>
        <v>0</v>
      </c>
      <c r="Z17" s="411">
        <f t="shared" si="11"/>
        <v>8.4099999999999994E-2</v>
      </c>
      <c r="AA17" s="388">
        <f t="shared" si="11"/>
        <v>0.20660000000000001</v>
      </c>
      <c r="AC17" s="390">
        <f t="shared" si="10"/>
        <v>407480</v>
      </c>
    </row>
    <row r="18" spans="2:29">
      <c r="D18" s="379"/>
      <c r="E18" s="391" t="s">
        <v>196</v>
      </c>
      <c r="F18" s="382">
        <v>-0.2</v>
      </c>
      <c r="G18" s="382">
        <v>0.3</v>
      </c>
      <c r="H18" s="387">
        <f t="shared" si="13"/>
        <v>3984625.6</v>
      </c>
      <c r="I18" s="384">
        <v>4980782</v>
      </c>
      <c r="J18" s="384">
        <f t="shared" si="14"/>
        <v>6475016.6000000006</v>
      </c>
      <c r="K18" s="385"/>
      <c r="L18" s="384">
        <v>336000</v>
      </c>
      <c r="M18" s="387">
        <f t="shared" ref="M18:M21" si="18">ROUNDUP($N18*(1+F18),-1)</f>
        <v>206440</v>
      </c>
      <c r="N18" s="384">
        <f t="shared" si="15"/>
        <v>258050</v>
      </c>
      <c r="O18" s="384">
        <f t="shared" si="16"/>
        <v>335470</v>
      </c>
      <c r="P18" s="381"/>
      <c r="Q18" s="387">
        <f t="shared" si="12"/>
        <v>3715920</v>
      </c>
      <c r="R18" s="384">
        <f t="shared" si="12"/>
        <v>4644900</v>
      </c>
      <c r="S18" s="384">
        <f t="shared" si="12"/>
        <v>6038460</v>
      </c>
      <c r="T18" s="381"/>
      <c r="U18" s="423" t="s">
        <v>191</v>
      </c>
      <c r="V18" s="420" t="s">
        <v>191</v>
      </c>
      <c r="W18" s="388">
        <f t="shared" si="11"/>
        <v>-8.6999999999999994E-3</v>
      </c>
      <c r="X18" s="388">
        <f t="shared" si="11"/>
        <v>0</v>
      </c>
      <c r="Y18" s="388">
        <f t="shared" si="11"/>
        <v>3.9E-2</v>
      </c>
      <c r="Z18" s="411">
        <f t="shared" si="11"/>
        <v>0.1341</v>
      </c>
      <c r="AA18" s="388">
        <f t="shared" si="11"/>
        <v>0.27250000000000002</v>
      </c>
      <c r="AC18" s="390">
        <f t="shared" si="10"/>
        <v>335470</v>
      </c>
    </row>
    <row r="19" spans="2:29">
      <c r="D19" s="379" t="s">
        <v>197</v>
      </c>
      <c r="E19" s="391" t="s">
        <v>198</v>
      </c>
      <c r="F19" s="382">
        <v>-0.2</v>
      </c>
      <c r="G19" s="382">
        <v>0.3</v>
      </c>
      <c r="H19" s="387">
        <f t="shared" si="13"/>
        <v>3823500.8000000003</v>
      </c>
      <c r="I19" s="384">
        <v>4779376</v>
      </c>
      <c r="J19" s="384">
        <f t="shared" si="14"/>
        <v>6213188.7999999998</v>
      </c>
      <c r="K19" s="385"/>
      <c r="L19" s="384">
        <v>336000</v>
      </c>
      <c r="M19" s="387">
        <f t="shared" si="18"/>
        <v>197490</v>
      </c>
      <c r="N19" s="384">
        <f t="shared" si="15"/>
        <v>246860</v>
      </c>
      <c r="O19" s="384">
        <f t="shared" si="16"/>
        <v>320920</v>
      </c>
      <c r="P19" s="381"/>
      <c r="Q19" s="387">
        <f t="shared" si="12"/>
        <v>3554820</v>
      </c>
      <c r="R19" s="384">
        <f t="shared" si="12"/>
        <v>4443480</v>
      </c>
      <c r="S19" s="384">
        <f t="shared" si="12"/>
        <v>5776560</v>
      </c>
      <c r="T19" s="381"/>
      <c r="U19" s="423" t="s">
        <v>191</v>
      </c>
      <c r="V19" s="420" t="s">
        <v>191</v>
      </c>
      <c r="W19" s="388">
        <f t="shared" si="11"/>
        <v>0</v>
      </c>
      <c r="X19" s="388">
        <f t="shared" si="11"/>
        <v>1.3599999999999999E-2</v>
      </c>
      <c r="Y19" s="388">
        <f t="shared" si="11"/>
        <v>5.4399999999999997E-2</v>
      </c>
      <c r="Z19" s="411">
        <f t="shared" si="11"/>
        <v>0.1537</v>
      </c>
      <c r="AA19" s="388">
        <f t="shared" si="11"/>
        <v>0.29849999999999999</v>
      </c>
      <c r="AC19" s="390">
        <f t="shared" si="10"/>
        <v>320920</v>
      </c>
    </row>
    <row r="20" spans="2:29">
      <c r="D20" s="379" t="s">
        <v>199</v>
      </c>
      <c r="E20" s="391" t="s">
        <v>200</v>
      </c>
      <c r="F20" s="382">
        <v>-0.2</v>
      </c>
      <c r="G20" s="382">
        <v>0.2</v>
      </c>
      <c r="H20" s="387">
        <f>I20*(1+F20)</f>
        <v>3185012</v>
      </c>
      <c r="I20" s="384">
        <v>3981265</v>
      </c>
      <c r="J20" s="384">
        <f t="shared" si="14"/>
        <v>4777518</v>
      </c>
      <c r="K20" s="385"/>
      <c r="L20" s="384">
        <v>336000</v>
      </c>
      <c r="M20" s="387">
        <f t="shared" si="18"/>
        <v>162020</v>
      </c>
      <c r="N20" s="384">
        <f t="shared" si="15"/>
        <v>202520</v>
      </c>
      <c r="O20" s="384">
        <f t="shared" si="16"/>
        <v>243030</v>
      </c>
      <c r="P20" s="381"/>
      <c r="Q20" s="387">
        <f t="shared" si="12"/>
        <v>2916360</v>
      </c>
      <c r="R20" s="384">
        <f t="shared" si="12"/>
        <v>3645360</v>
      </c>
      <c r="S20" s="384">
        <f t="shared" si="12"/>
        <v>4374540</v>
      </c>
      <c r="T20" s="381"/>
      <c r="U20" s="423" t="s">
        <v>191</v>
      </c>
      <c r="V20" s="388">
        <f t="shared" si="11"/>
        <v>0</v>
      </c>
      <c r="W20" s="388">
        <f t="shared" si="11"/>
        <v>6.5699999999999995E-2</v>
      </c>
      <c r="X20" s="388">
        <f t="shared" si="11"/>
        <v>8.2299999999999998E-2</v>
      </c>
      <c r="Y20" s="420" t="s">
        <v>191</v>
      </c>
      <c r="Z20" s="424" t="s">
        <v>191</v>
      </c>
      <c r="AA20" s="388">
        <f t="shared" si="11"/>
        <v>0.42949999999999999</v>
      </c>
      <c r="AC20" s="390">
        <f t="shared" si="10"/>
        <v>243030</v>
      </c>
    </row>
    <row r="21" spans="2:29" ht="16.5" thickBot="1">
      <c r="D21" s="395" t="s">
        <v>201</v>
      </c>
      <c r="E21" s="381" t="s">
        <v>181</v>
      </c>
      <c r="F21" s="382">
        <v>-0.2</v>
      </c>
      <c r="G21" s="382">
        <v>0.2</v>
      </c>
      <c r="H21" s="387">
        <f t="shared" si="13"/>
        <v>2713840</v>
      </c>
      <c r="I21" s="384">
        <v>3392300</v>
      </c>
      <c r="J21" s="384">
        <f t="shared" si="14"/>
        <v>4070760</v>
      </c>
      <c r="K21" s="385"/>
      <c r="L21" s="384">
        <v>336000</v>
      </c>
      <c r="M21" s="387">
        <f t="shared" si="18"/>
        <v>135840</v>
      </c>
      <c r="N21" s="384">
        <f t="shared" si="15"/>
        <v>169800</v>
      </c>
      <c r="O21" s="384">
        <f t="shared" si="16"/>
        <v>203760</v>
      </c>
      <c r="P21" s="381"/>
      <c r="Q21" s="387">
        <f t="shared" si="12"/>
        <v>2445120</v>
      </c>
      <c r="R21" s="384">
        <f t="shared" si="12"/>
        <v>3056400</v>
      </c>
      <c r="S21" s="384">
        <f t="shared" si="12"/>
        <v>3667680</v>
      </c>
      <c r="T21" s="381"/>
      <c r="U21" s="413">
        <f t="shared" si="11"/>
        <v>0</v>
      </c>
      <c r="V21" s="414">
        <f t="shared" si="11"/>
        <v>5.7799999999999997E-2</v>
      </c>
      <c r="W21" s="425" t="s">
        <v>191</v>
      </c>
      <c r="X21" s="425" t="s">
        <v>191</v>
      </c>
      <c r="Y21" s="425" t="s">
        <v>191</v>
      </c>
      <c r="Z21" s="426" t="s">
        <v>191</v>
      </c>
      <c r="AA21" s="388">
        <f t="shared" si="11"/>
        <v>0.57010000000000005</v>
      </c>
      <c r="AC21" s="390">
        <f t="shared" si="10"/>
        <v>203760</v>
      </c>
    </row>
    <row r="22" spans="2:29">
      <c r="D22" s="361"/>
      <c r="E22" s="361"/>
      <c r="F22" s="361"/>
      <c r="G22" s="397"/>
      <c r="H22" s="397"/>
      <c r="I22" s="397"/>
      <c r="J22" s="397"/>
      <c r="K22" s="397"/>
      <c r="L22" s="397"/>
      <c r="M22" s="397"/>
      <c r="N22" s="397"/>
      <c r="O22" s="397"/>
      <c r="P22" s="397"/>
      <c r="Q22" s="397"/>
      <c r="R22" s="397"/>
      <c r="S22" s="397"/>
      <c r="T22" s="397"/>
      <c r="U22" s="361"/>
      <c r="V22" s="361"/>
      <c r="W22" s="361"/>
    </row>
    <row r="23" spans="2:29">
      <c r="D23" s="361"/>
      <c r="E23" s="361"/>
      <c r="F23" s="361"/>
      <c r="G23" s="361"/>
      <c r="H23" s="396"/>
      <c r="I23" s="361"/>
      <c r="J23" s="361"/>
      <c r="K23" s="361"/>
      <c r="L23" s="361"/>
      <c r="M23" s="361"/>
      <c r="N23" s="361"/>
      <c r="O23" s="361" t="s">
        <v>203</v>
      </c>
      <c r="P23" s="361" t="s">
        <v>186</v>
      </c>
      <c r="Q23" s="398">
        <f t="shared" ref="Q23:T24" si="19">Q8+9000*12</f>
        <v>5788440</v>
      </c>
      <c r="R23" s="398">
        <f t="shared" si="19"/>
        <v>7208460</v>
      </c>
      <c r="S23" s="398">
        <f t="shared" si="19"/>
        <v>9338760</v>
      </c>
      <c r="T23" s="398">
        <f t="shared" si="19"/>
        <v>9622620</v>
      </c>
    </row>
    <row r="24" spans="2:29">
      <c r="B24" s="358" t="s">
        <v>204</v>
      </c>
      <c r="D24" s="361"/>
      <c r="E24" s="361"/>
      <c r="F24" s="361"/>
      <c r="G24" s="361"/>
      <c r="H24" s="396"/>
      <c r="I24" s="361"/>
      <c r="J24" s="361"/>
      <c r="K24" s="361"/>
      <c r="L24" s="361"/>
      <c r="M24" s="361"/>
      <c r="N24" s="361"/>
      <c r="O24" s="361"/>
      <c r="P24" s="361" t="s">
        <v>205</v>
      </c>
      <c r="Q24" s="398">
        <f t="shared" si="19"/>
        <v>4611420</v>
      </c>
      <c r="R24" s="398">
        <f t="shared" si="19"/>
        <v>5737140</v>
      </c>
      <c r="S24" s="398">
        <f t="shared" si="19"/>
        <v>7425900</v>
      </c>
      <c r="T24" s="398">
        <f t="shared" si="19"/>
        <v>7822620</v>
      </c>
      <c r="W24" s="403" t="s">
        <v>211</v>
      </c>
    </row>
    <row r="25" spans="2:29">
      <c r="C25" s="399" t="s">
        <v>206</v>
      </c>
      <c r="D25" s="399" t="s">
        <v>207</v>
      </c>
      <c r="E25" s="399" t="s">
        <v>208</v>
      </c>
      <c r="F25" s="361"/>
      <c r="G25" s="361"/>
      <c r="H25" s="396"/>
      <c r="I25" s="361"/>
      <c r="J25" s="361"/>
      <c r="K25" s="361"/>
      <c r="L25" s="361"/>
      <c r="M25" s="361"/>
      <c r="N25" s="361"/>
      <c r="O25" s="361"/>
      <c r="P25" s="361" t="s">
        <v>196</v>
      </c>
      <c r="Q25" s="398">
        <f t="shared" ref="Q25:S28" si="20">Q10+9000*12</f>
        <v>4127940</v>
      </c>
      <c r="R25" s="398">
        <f t="shared" si="20"/>
        <v>5132880</v>
      </c>
      <c r="S25" s="398">
        <f t="shared" si="20"/>
        <v>6640380</v>
      </c>
      <c r="T25" s="398"/>
    </row>
    <row r="26" spans="2:29">
      <c r="C26" s="400">
        <v>125730</v>
      </c>
      <c r="D26" s="400">
        <v>106730</v>
      </c>
      <c r="E26" s="400">
        <f>C26-D26</f>
        <v>19000</v>
      </c>
      <c r="F26" s="398">
        <f>E26*8</f>
        <v>152000</v>
      </c>
      <c r="G26" s="361"/>
      <c r="H26" s="361"/>
      <c r="I26" s="361"/>
      <c r="J26" s="361"/>
      <c r="K26" s="361"/>
      <c r="L26" s="361"/>
      <c r="M26" s="361"/>
      <c r="N26" s="361"/>
      <c r="O26" s="361"/>
      <c r="P26" s="361" t="s">
        <v>183</v>
      </c>
      <c r="Q26" s="398">
        <f t="shared" si="20"/>
        <v>3966840</v>
      </c>
      <c r="R26" s="398">
        <f t="shared" si="20"/>
        <v>4931460</v>
      </c>
      <c r="S26" s="398">
        <f t="shared" si="20"/>
        <v>6378660</v>
      </c>
      <c r="T26" s="398"/>
    </row>
    <row r="27" spans="2:29">
      <c r="C27" s="361"/>
      <c r="D27" s="361"/>
      <c r="E27" s="361"/>
      <c r="F27" s="361"/>
      <c r="G27" s="361"/>
      <c r="H27" s="361"/>
      <c r="I27" s="361"/>
      <c r="J27" s="361"/>
      <c r="K27" s="361"/>
      <c r="L27" s="361"/>
      <c r="M27" s="361"/>
      <c r="N27" s="361"/>
      <c r="O27" s="361"/>
      <c r="P27" s="361" t="s">
        <v>182</v>
      </c>
      <c r="Q27" s="398">
        <f t="shared" si="20"/>
        <v>3328380</v>
      </c>
      <c r="R27" s="398">
        <f t="shared" si="20"/>
        <v>4133340</v>
      </c>
      <c r="S27" s="398">
        <f t="shared" si="20"/>
        <v>4938480</v>
      </c>
      <c r="T27" s="398"/>
    </row>
    <row r="28" spans="2:29">
      <c r="D28" s="361"/>
      <c r="E28" s="361"/>
      <c r="F28" s="361"/>
      <c r="G28" s="361"/>
      <c r="H28" s="361"/>
      <c r="I28" s="361"/>
      <c r="J28" s="361"/>
      <c r="K28" s="361"/>
      <c r="L28" s="361"/>
      <c r="M28" s="361"/>
      <c r="N28" s="361"/>
      <c r="O28" s="361"/>
      <c r="P28" s="361" t="s">
        <v>209</v>
      </c>
      <c r="Q28" s="398">
        <f t="shared" si="20"/>
        <v>2857140</v>
      </c>
      <c r="R28" s="398">
        <f t="shared" si="20"/>
        <v>3544380</v>
      </c>
      <c r="S28" s="398">
        <f t="shared" si="20"/>
        <v>4231800</v>
      </c>
      <c r="T28" s="398"/>
    </row>
    <row r="29" spans="2:29">
      <c r="D29" s="361"/>
      <c r="E29" s="361"/>
      <c r="F29" s="361"/>
      <c r="G29" s="361"/>
      <c r="H29" s="361"/>
      <c r="I29" s="361"/>
      <c r="J29" s="361"/>
      <c r="K29" s="361"/>
      <c r="L29" s="361"/>
      <c r="M29" s="361"/>
      <c r="N29" s="361"/>
      <c r="O29" s="361"/>
      <c r="P29" s="361"/>
      <c r="Q29" s="361"/>
      <c r="R29" s="361"/>
      <c r="S29" s="361"/>
      <c r="T29" s="361"/>
    </row>
    <row r="30" spans="2:29">
      <c r="D30" s="361"/>
      <c r="E30" s="361"/>
      <c r="F30" s="361"/>
      <c r="G30" s="361"/>
      <c r="H30" s="361"/>
      <c r="I30" s="361"/>
      <c r="J30" s="361"/>
      <c r="K30" s="361"/>
      <c r="L30" s="361"/>
      <c r="M30" s="361"/>
      <c r="N30" s="361"/>
      <c r="O30" s="361" t="s">
        <v>210</v>
      </c>
      <c r="P30" s="361" t="s">
        <v>186</v>
      </c>
      <c r="Q30" s="398">
        <f>Q16+28000*12</f>
        <v>5712420</v>
      </c>
      <c r="R30" s="398">
        <f t="shared" ref="R30:T30" si="21">R16+28000*12</f>
        <v>7056480</v>
      </c>
      <c r="S30" s="398">
        <f t="shared" si="21"/>
        <v>9072660</v>
      </c>
      <c r="T30" s="398">
        <f t="shared" si="21"/>
        <v>9470640</v>
      </c>
    </row>
    <row r="31" spans="2:29">
      <c r="D31" s="361"/>
      <c r="E31" s="361"/>
      <c r="F31" s="361"/>
      <c r="G31" s="361"/>
      <c r="H31" s="361"/>
      <c r="I31" s="361"/>
      <c r="J31" s="361"/>
      <c r="K31" s="361"/>
      <c r="L31" s="361"/>
      <c r="M31" s="361"/>
      <c r="N31" s="361"/>
      <c r="O31" s="361"/>
      <c r="P31" s="361" t="s">
        <v>205</v>
      </c>
      <c r="Q31" s="398">
        <f t="shared" ref="Q31:T35" si="22">Q17+28000*12</f>
        <v>4535400</v>
      </c>
      <c r="R31" s="398">
        <f t="shared" si="22"/>
        <v>5585160</v>
      </c>
      <c r="S31" s="398">
        <f t="shared" si="22"/>
        <v>7159980</v>
      </c>
      <c r="T31" s="398">
        <f t="shared" si="22"/>
        <v>7670640</v>
      </c>
    </row>
    <row r="32" spans="2:29">
      <c r="D32" s="361"/>
      <c r="E32" s="361"/>
      <c r="F32" s="361"/>
      <c r="G32" s="361"/>
      <c r="H32" s="361"/>
      <c r="I32" s="361"/>
      <c r="J32" s="361"/>
      <c r="K32" s="361"/>
      <c r="L32" s="361"/>
      <c r="M32" s="361"/>
      <c r="N32" s="361"/>
      <c r="O32" s="361"/>
      <c r="P32" s="361" t="s">
        <v>196</v>
      </c>
      <c r="Q32" s="398">
        <f t="shared" si="22"/>
        <v>4051920</v>
      </c>
      <c r="R32" s="398">
        <f t="shared" si="22"/>
        <v>4980900</v>
      </c>
      <c r="S32" s="398">
        <f t="shared" si="22"/>
        <v>6374460</v>
      </c>
      <c r="T32" s="398"/>
    </row>
    <row r="33" spans="4:23">
      <c r="D33" s="361"/>
      <c r="E33" s="361"/>
      <c r="F33" s="361"/>
      <c r="G33" s="361"/>
      <c r="H33" s="361"/>
      <c r="I33" s="361"/>
      <c r="J33" s="361"/>
      <c r="K33" s="361"/>
      <c r="L33" s="361"/>
      <c r="M33" s="361"/>
      <c r="N33" s="361"/>
      <c r="O33" s="361"/>
      <c r="P33" s="361" t="s">
        <v>183</v>
      </c>
      <c r="Q33" s="398">
        <f t="shared" si="22"/>
        <v>3890820</v>
      </c>
      <c r="R33" s="398">
        <f t="shared" si="22"/>
        <v>4779480</v>
      </c>
      <c r="S33" s="398">
        <f t="shared" si="22"/>
        <v>6112560</v>
      </c>
      <c r="T33" s="398"/>
    </row>
    <row r="34" spans="4:23">
      <c r="D34" s="361"/>
      <c r="E34" s="361"/>
      <c r="F34" s="361"/>
      <c r="G34" s="361"/>
      <c r="H34" s="361"/>
      <c r="I34" s="361"/>
      <c r="J34" s="361"/>
      <c r="K34" s="361"/>
      <c r="L34" s="361"/>
      <c r="M34" s="361"/>
      <c r="N34" s="361"/>
      <c r="O34" s="361"/>
      <c r="P34" s="361" t="s">
        <v>182</v>
      </c>
      <c r="Q34" s="398">
        <f t="shared" si="22"/>
        <v>3252360</v>
      </c>
      <c r="R34" s="398">
        <f t="shared" si="22"/>
        <v>3981360</v>
      </c>
      <c r="S34" s="398">
        <f t="shared" si="22"/>
        <v>4710540</v>
      </c>
      <c r="T34" s="398"/>
    </row>
    <row r="35" spans="4:23">
      <c r="D35" s="361"/>
      <c r="E35" s="361"/>
      <c r="F35" s="361"/>
      <c r="G35" s="361"/>
      <c r="H35" s="361"/>
      <c r="I35" s="361"/>
      <c r="J35" s="361"/>
      <c r="K35" s="361"/>
      <c r="L35" s="361"/>
      <c r="M35" s="361"/>
      <c r="N35" s="361"/>
      <c r="O35" s="361"/>
      <c r="P35" s="361" t="s">
        <v>209</v>
      </c>
      <c r="Q35" s="398">
        <f t="shared" si="22"/>
        <v>2781120</v>
      </c>
      <c r="R35" s="398">
        <f t="shared" si="22"/>
        <v>3392400</v>
      </c>
      <c r="S35" s="398">
        <f t="shared" si="22"/>
        <v>4003680</v>
      </c>
      <c r="T35" s="398"/>
    </row>
    <row r="36" spans="4:23">
      <c r="D36" s="361"/>
      <c r="E36" s="361"/>
      <c r="F36" s="361"/>
      <c r="G36" s="361"/>
      <c r="H36" s="361"/>
      <c r="I36" s="361"/>
      <c r="J36" s="361"/>
      <c r="K36" s="361"/>
      <c r="L36" s="361"/>
      <c r="M36" s="361"/>
      <c r="N36" s="361"/>
      <c r="O36" s="361"/>
      <c r="P36" s="361"/>
      <c r="Q36" s="398"/>
      <c r="R36" s="398"/>
      <c r="S36" s="398"/>
      <c r="T36" s="398"/>
    </row>
    <row r="37" spans="4:23">
      <c r="D37" s="361"/>
      <c r="E37" s="361"/>
      <c r="F37" s="361"/>
      <c r="G37" s="361"/>
      <c r="H37" s="361"/>
      <c r="I37" s="361"/>
      <c r="J37" s="361"/>
      <c r="K37" s="361"/>
      <c r="L37" s="361"/>
      <c r="M37" s="361"/>
      <c r="N37" s="361"/>
      <c r="O37" s="361"/>
      <c r="P37" s="361" t="s">
        <v>186</v>
      </c>
      <c r="Q37" s="401">
        <f>Q23-Q30</f>
        <v>76020</v>
      </c>
      <c r="R37" s="401">
        <f t="shared" ref="R37:T37" si="23">R23-R30</f>
        <v>151980</v>
      </c>
      <c r="S37" s="401">
        <f t="shared" si="23"/>
        <v>266100</v>
      </c>
      <c r="T37" s="401">
        <f t="shared" si="23"/>
        <v>151980</v>
      </c>
      <c r="U37" s="361"/>
      <c r="V37" s="398"/>
      <c r="W37" s="361"/>
    </row>
    <row r="38" spans="4:23">
      <c r="D38" s="361"/>
      <c r="E38" s="361"/>
      <c r="F38" s="361"/>
      <c r="G38" s="361"/>
      <c r="H38" s="361"/>
      <c r="I38" s="361"/>
      <c r="J38" s="361"/>
      <c r="K38" s="361"/>
      <c r="L38" s="361"/>
      <c r="M38" s="361"/>
      <c r="N38" s="361"/>
      <c r="O38" s="361"/>
      <c r="P38" s="361" t="s">
        <v>205</v>
      </c>
      <c r="Q38" s="401">
        <f t="shared" ref="Q38:T42" si="24">Q24-Q31</f>
        <v>76020</v>
      </c>
      <c r="R38" s="401">
        <f t="shared" si="24"/>
        <v>151980</v>
      </c>
      <c r="S38" s="401">
        <f t="shared" si="24"/>
        <v>265920</v>
      </c>
      <c r="T38" s="401">
        <f t="shared" si="24"/>
        <v>151980</v>
      </c>
      <c r="U38" s="361"/>
      <c r="V38" s="398"/>
      <c r="W38" s="361"/>
    </row>
    <row r="39" spans="4:23">
      <c r="D39" s="361"/>
      <c r="E39" s="361"/>
      <c r="F39" s="361"/>
      <c r="G39" s="361"/>
      <c r="H39" s="361"/>
      <c r="I39" s="361"/>
      <c r="J39" s="361"/>
      <c r="K39" s="361"/>
      <c r="L39" s="361"/>
      <c r="M39" s="361"/>
      <c r="N39" s="361"/>
      <c r="O39" s="361"/>
      <c r="P39" s="361" t="s">
        <v>196</v>
      </c>
      <c r="Q39" s="401">
        <f t="shared" si="24"/>
        <v>76020</v>
      </c>
      <c r="R39" s="401">
        <f t="shared" si="24"/>
        <v>151980</v>
      </c>
      <c r="S39" s="401">
        <f t="shared" si="24"/>
        <v>265920</v>
      </c>
      <c r="T39" s="401">
        <f t="shared" si="24"/>
        <v>0</v>
      </c>
      <c r="U39" s="361"/>
      <c r="V39" s="398"/>
      <c r="W39" s="361"/>
    </row>
    <row r="40" spans="4:23">
      <c r="D40" s="361"/>
      <c r="E40" s="361"/>
      <c r="F40" s="361"/>
      <c r="G40" s="361"/>
      <c r="H40" s="361"/>
      <c r="I40" s="361"/>
      <c r="J40" s="361"/>
      <c r="K40" s="361"/>
      <c r="L40" s="361"/>
      <c r="M40" s="361"/>
      <c r="N40" s="361"/>
      <c r="O40" s="361"/>
      <c r="P40" s="361" t="s">
        <v>183</v>
      </c>
      <c r="Q40" s="401">
        <f t="shared" si="24"/>
        <v>76020</v>
      </c>
      <c r="R40" s="401">
        <f t="shared" si="24"/>
        <v>151980</v>
      </c>
      <c r="S40" s="401">
        <f t="shared" si="24"/>
        <v>266100</v>
      </c>
      <c r="T40" s="401">
        <f t="shared" si="24"/>
        <v>0</v>
      </c>
      <c r="U40" s="361"/>
      <c r="V40" s="398"/>
      <c r="W40" s="361"/>
    </row>
    <row r="41" spans="4:23">
      <c r="D41" s="361"/>
      <c r="E41" s="361"/>
      <c r="F41" s="361"/>
      <c r="G41" s="361"/>
      <c r="H41" s="361"/>
      <c r="I41" s="361"/>
      <c r="J41" s="361"/>
      <c r="K41" s="361"/>
      <c r="L41" s="361"/>
      <c r="M41" s="361"/>
      <c r="N41" s="361"/>
      <c r="O41" s="361"/>
      <c r="P41" s="361" t="s">
        <v>182</v>
      </c>
      <c r="Q41" s="401">
        <f t="shared" si="24"/>
        <v>76020</v>
      </c>
      <c r="R41" s="401">
        <f t="shared" si="24"/>
        <v>151980</v>
      </c>
      <c r="S41" s="401">
        <f t="shared" si="24"/>
        <v>227940</v>
      </c>
      <c r="T41" s="401">
        <f t="shared" si="24"/>
        <v>0</v>
      </c>
      <c r="U41" s="361"/>
      <c r="V41" s="398"/>
      <c r="W41" s="361"/>
    </row>
    <row r="42" spans="4:23">
      <c r="D42" s="361"/>
      <c r="E42" s="361"/>
      <c r="F42" s="361"/>
      <c r="G42" s="361"/>
      <c r="H42" s="361"/>
      <c r="I42" s="361"/>
      <c r="J42" s="361"/>
      <c r="K42" s="361"/>
      <c r="L42" s="361"/>
      <c r="M42" s="361"/>
      <c r="N42" s="361"/>
      <c r="O42" s="361"/>
      <c r="P42" s="361" t="s">
        <v>209</v>
      </c>
      <c r="Q42" s="401">
        <f t="shared" si="24"/>
        <v>76020</v>
      </c>
      <c r="R42" s="401">
        <f t="shared" si="24"/>
        <v>151980</v>
      </c>
      <c r="S42" s="401">
        <f>S28-S35</f>
        <v>228120</v>
      </c>
      <c r="T42" s="401">
        <f t="shared" si="24"/>
        <v>0</v>
      </c>
      <c r="U42" s="361"/>
      <c r="V42" s="398"/>
      <c r="W42" s="361"/>
    </row>
    <row r="43" spans="4:23">
      <c r="Q43" s="401"/>
      <c r="R43" s="401"/>
      <c r="S43" s="401"/>
      <c r="T43" s="401"/>
    </row>
  </sheetData>
  <conditionalFormatting sqref="U7:AA13">
    <cfRule type="cellIs" dxfId="8" priority="5" operator="equal">
      <formula>0</formula>
    </cfRule>
  </conditionalFormatting>
  <conditionalFormatting sqref="U15:AA21">
    <cfRule type="cellIs" dxfId="7" priority="1" operator="equal">
      <formula>0</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CC34D-B42B-4A43-983D-ADF2EF6EF9C6}">
  <dimension ref="A1:BI165"/>
  <sheetViews>
    <sheetView topLeftCell="C5" workbookViewId="0">
      <selection activeCell="Q14" sqref="Q14"/>
    </sheetView>
  </sheetViews>
  <sheetFormatPr defaultColWidth="9.1796875" defaultRowHeight="12.5" outlineLevelRow="1"/>
  <cols>
    <col min="1" max="1" width="21.81640625" style="347" customWidth="1"/>
    <col min="2" max="2" width="9.1796875" style="347"/>
    <col min="3" max="3" width="8.6328125" style="347" customWidth="1"/>
    <col min="4" max="4" width="5.81640625" style="347" customWidth="1"/>
    <col min="5" max="7" width="4.36328125" style="347" customWidth="1"/>
    <col min="8" max="8" width="6.36328125" style="347" customWidth="1"/>
    <col min="9" max="11" width="9.6328125" style="347" customWidth="1"/>
    <col min="12" max="12" width="6.453125" style="347" customWidth="1"/>
    <col min="13" max="13" width="10.08984375" style="347" customWidth="1"/>
    <col min="14" max="16" width="9.453125" style="347" customWidth="1"/>
    <col min="17" max="17" width="10.1796875" style="347" customWidth="1"/>
    <col min="18" max="18" width="9.453125" style="347" customWidth="1"/>
    <col min="19" max="19" width="12.6328125" style="347" customWidth="1"/>
    <col min="20" max="21" width="9.6328125" style="347" customWidth="1"/>
    <col min="22" max="22" width="9.453125" style="347" customWidth="1"/>
    <col min="23" max="25" width="9.1796875" style="347"/>
    <col min="26" max="26" width="11.36328125" style="347" customWidth="1"/>
    <col min="27" max="28" width="9.1796875" style="347"/>
    <col min="29" max="29" width="16.26953125" style="347" bestFit="1" customWidth="1"/>
    <col min="30" max="37" width="9.1796875" style="347"/>
    <col min="38" max="39" width="9.453125" style="347" customWidth="1"/>
    <col min="40" max="40" width="10.1796875" style="347" customWidth="1"/>
    <col min="41" max="45" width="9" style="347" customWidth="1"/>
    <col min="46" max="46" width="11.1796875" style="347" customWidth="1"/>
    <col min="47" max="48" width="9" style="347" customWidth="1"/>
    <col min="49" max="55" width="9.6328125" style="347" customWidth="1"/>
    <col min="56" max="58" width="12.6328125" style="347" bestFit="1" customWidth="1"/>
    <col min="59" max="16384" width="9.1796875" style="347"/>
  </cols>
  <sheetData>
    <row r="1" spans="1:61" s="1" customFormat="1" ht="13.5"/>
    <row r="2" spans="1:61" s="1" customFormat="1" ht="13.5">
      <c r="C2" s="1" t="s">
        <v>124</v>
      </c>
      <c r="D2" s="1" t="s">
        <v>124</v>
      </c>
      <c r="E2" s="1" t="s">
        <v>124</v>
      </c>
      <c r="F2" s="1" t="s">
        <v>124</v>
      </c>
      <c r="G2" s="1" t="s">
        <v>124</v>
      </c>
      <c r="H2" s="1" t="s">
        <v>124</v>
      </c>
      <c r="I2" s="1" t="s">
        <v>124</v>
      </c>
      <c r="J2" s="1" t="s">
        <v>124</v>
      </c>
      <c r="K2" s="1" t="s">
        <v>124</v>
      </c>
      <c r="L2" s="1" t="s">
        <v>124</v>
      </c>
      <c r="M2" s="1" t="s">
        <v>124</v>
      </c>
      <c r="N2" s="1" t="s">
        <v>124</v>
      </c>
      <c r="O2" s="1" t="s">
        <v>124</v>
      </c>
    </row>
    <row r="3" spans="1:61" s="1" customFormat="1" ht="13.5">
      <c r="AP3" s="1" t="s">
        <v>0</v>
      </c>
    </row>
    <row r="4" spans="1:61" s="1" customFormat="1" ht="13.5">
      <c r="AP4" s="2">
        <v>0.3</v>
      </c>
      <c r="AQ4" s="2">
        <v>0.2</v>
      </c>
    </row>
    <row r="5" spans="1:61" s="1" customFormat="1" ht="13.5">
      <c r="J5" s="3"/>
      <c r="Q5" s="4"/>
      <c r="AO5" s="5"/>
      <c r="AP5" s="6">
        <f t="shared" ref="AP5:BC5" si="0">VLOOKUP(AQ9,$C$10:$Q$28,15,0)</f>
        <v>3860460</v>
      </c>
      <c r="AQ5" s="6">
        <f t="shared" si="0"/>
        <v>4370400</v>
      </c>
      <c r="AR5" s="6">
        <f t="shared" si="0"/>
        <v>5676840</v>
      </c>
      <c r="AS5" s="6">
        <f t="shared" si="0"/>
        <v>7322040</v>
      </c>
      <c r="AT5" s="6">
        <f t="shared" si="0"/>
        <v>8890920</v>
      </c>
      <c r="AU5" s="6">
        <f t="shared" si="0"/>
        <v>10230660</v>
      </c>
      <c r="AV5" s="6">
        <f t="shared" si="0"/>
        <v>11035260</v>
      </c>
      <c r="AW5" s="6">
        <f t="shared" si="0"/>
        <v>13729680</v>
      </c>
      <c r="AX5" s="6">
        <f t="shared" si="0"/>
        <v>18268560</v>
      </c>
      <c r="AY5" s="6">
        <f t="shared" si="0"/>
        <v>20773440</v>
      </c>
      <c r="AZ5" s="6">
        <f t="shared" si="0"/>
        <v>23278320</v>
      </c>
      <c r="BA5" s="6">
        <f t="shared" si="0"/>
        <v>26197740</v>
      </c>
      <c r="BB5" s="6">
        <f t="shared" si="0"/>
        <v>29117340</v>
      </c>
      <c r="BC5" s="6">
        <f t="shared" si="0"/>
        <v>32036760</v>
      </c>
    </row>
    <row r="6" spans="1:61" s="1" customFormat="1" ht="13.5">
      <c r="J6" s="3"/>
      <c r="M6" s="1" t="s">
        <v>1</v>
      </c>
      <c r="N6" s="1" t="s">
        <v>2</v>
      </c>
      <c r="Q6" s="4"/>
      <c r="AJ6" s="1" t="s">
        <v>3</v>
      </c>
      <c r="AK6" s="1" t="s">
        <v>4</v>
      </c>
      <c r="AL6" s="1" t="s">
        <v>5</v>
      </c>
      <c r="AP6" s="4"/>
      <c r="AQ6" s="4"/>
      <c r="AR6" s="4"/>
      <c r="AS6" s="4"/>
      <c r="AT6" s="4"/>
      <c r="AU6" s="6"/>
      <c r="AV6" s="6"/>
      <c r="AW6" s="6"/>
      <c r="AX6" s="6"/>
      <c r="AY6" s="6"/>
      <c r="AZ6" s="6"/>
      <c r="BA6" s="6"/>
      <c r="BB6" s="6"/>
      <c r="BC6" s="6"/>
    </row>
    <row r="7" spans="1:61" s="1" customFormat="1" ht="14" thickBot="1">
      <c r="M7" s="1" t="s">
        <v>6</v>
      </c>
      <c r="N7" s="1" t="s">
        <v>7</v>
      </c>
      <c r="Y7" s="1" t="s">
        <v>8</v>
      </c>
      <c r="AJ7" s="7">
        <v>3.87</v>
      </c>
      <c r="AK7" s="8">
        <v>6</v>
      </c>
      <c r="AL7" s="9">
        <v>6.75</v>
      </c>
      <c r="AP7" s="6"/>
      <c r="AQ7" s="10">
        <v>8</v>
      </c>
      <c r="AR7" s="10">
        <v>9</v>
      </c>
      <c r="AS7" s="10">
        <v>10</v>
      </c>
      <c r="AT7" s="10">
        <v>11</v>
      </c>
      <c r="AU7" s="10">
        <v>12.1</v>
      </c>
      <c r="AV7" s="10">
        <v>12</v>
      </c>
      <c r="AW7" s="10">
        <v>13</v>
      </c>
      <c r="AX7" s="10">
        <v>14</v>
      </c>
      <c r="AY7" s="10">
        <v>15</v>
      </c>
      <c r="AZ7" s="10">
        <v>16</v>
      </c>
      <c r="BA7" s="10">
        <v>17</v>
      </c>
      <c r="BB7" s="10">
        <v>18</v>
      </c>
      <c r="BC7" s="10">
        <v>19</v>
      </c>
    </row>
    <row r="8" spans="1:61" s="1" customFormat="1" ht="13.5">
      <c r="B8" s="11" t="s">
        <v>9</v>
      </c>
      <c r="C8" s="11"/>
      <c r="D8" s="11"/>
      <c r="E8" s="11"/>
      <c r="F8" s="11"/>
      <c r="G8" s="11"/>
      <c r="H8" s="11"/>
      <c r="I8" s="12" t="s">
        <v>10</v>
      </c>
      <c r="J8" s="13"/>
      <c r="K8" s="14">
        <f>J13*1.2</f>
        <v>8916029.6210007947</v>
      </c>
      <c r="L8" s="11"/>
      <c r="M8" s="12" t="s">
        <v>11</v>
      </c>
      <c r="N8" s="13">
        <f>ROUNDUP((K8-L13)/18,-1)</f>
        <v>489340</v>
      </c>
      <c r="O8" s="14"/>
      <c r="P8" s="12" t="s">
        <v>12</v>
      </c>
      <c r="Q8" s="13"/>
      <c r="R8" s="13"/>
      <c r="S8" s="12" t="s">
        <v>13</v>
      </c>
      <c r="T8" s="13"/>
      <c r="U8" s="13"/>
      <c r="V8" s="12" t="s">
        <v>14</v>
      </c>
      <c r="W8" s="13"/>
      <c r="X8" s="14"/>
      <c r="Y8" s="15">
        <v>0.7</v>
      </c>
      <c r="Z8" s="11"/>
      <c r="AA8" s="11"/>
      <c r="AB8" s="11"/>
      <c r="AC8" s="11" t="s">
        <v>15</v>
      </c>
      <c r="AD8" s="16"/>
      <c r="AE8" s="17"/>
      <c r="AF8" s="13"/>
      <c r="AG8" s="13" t="s">
        <v>16</v>
      </c>
      <c r="AH8" s="13"/>
      <c r="AI8" s="14"/>
      <c r="AJ8" s="11" t="s">
        <v>17</v>
      </c>
      <c r="AK8" s="12" t="s">
        <v>18</v>
      </c>
      <c r="AL8" s="18"/>
      <c r="AM8" s="13"/>
      <c r="AN8" s="13" t="s">
        <v>19</v>
      </c>
      <c r="AO8" s="13"/>
      <c r="AP8" s="14"/>
      <c r="AQ8" s="19" t="s">
        <v>20</v>
      </c>
      <c r="AR8" s="20"/>
      <c r="AS8" s="20"/>
      <c r="AT8" s="20"/>
      <c r="AU8" s="20"/>
      <c r="AV8" s="20"/>
      <c r="AW8" s="20"/>
      <c r="AX8" s="20"/>
      <c r="AY8" s="20"/>
      <c r="AZ8" s="20"/>
      <c r="BA8" s="20"/>
      <c r="BB8" s="20"/>
      <c r="BC8" s="20"/>
      <c r="BD8" s="21"/>
    </row>
    <row r="9" spans="1:61" s="33" customFormat="1" ht="14" thickBot="1">
      <c r="B9" s="22" t="s">
        <v>21</v>
      </c>
      <c r="C9" s="22" t="s">
        <v>22</v>
      </c>
      <c r="D9" s="22"/>
      <c r="E9" s="22" t="s">
        <v>23</v>
      </c>
      <c r="F9" s="23" t="s">
        <v>24</v>
      </c>
      <c r="G9" s="23" t="s">
        <v>25</v>
      </c>
      <c r="H9" s="24" t="s">
        <v>26</v>
      </c>
      <c r="I9" s="25" t="s">
        <v>27</v>
      </c>
      <c r="J9" s="23" t="s">
        <v>28</v>
      </c>
      <c r="K9" s="26" t="s">
        <v>29</v>
      </c>
      <c r="L9" s="27" t="s">
        <v>30</v>
      </c>
      <c r="M9" s="25" t="s">
        <v>27</v>
      </c>
      <c r="N9" s="23" t="s">
        <v>28</v>
      </c>
      <c r="O9" s="26" t="s">
        <v>29</v>
      </c>
      <c r="P9" s="25" t="s">
        <v>27</v>
      </c>
      <c r="Q9" s="23" t="s">
        <v>28</v>
      </c>
      <c r="R9" s="24" t="s">
        <v>29</v>
      </c>
      <c r="S9" s="25" t="s">
        <v>31</v>
      </c>
      <c r="T9" s="23" t="s">
        <v>27</v>
      </c>
      <c r="U9" s="24" t="s">
        <v>29</v>
      </c>
      <c r="V9" s="25" t="s">
        <v>31</v>
      </c>
      <c r="W9" s="23" t="s">
        <v>27</v>
      </c>
      <c r="X9" s="26" t="s">
        <v>29</v>
      </c>
      <c r="Y9" s="28" t="s">
        <v>32</v>
      </c>
      <c r="Z9" s="23" t="s">
        <v>33</v>
      </c>
      <c r="AA9" s="23" t="s">
        <v>34</v>
      </c>
      <c r="AB9" s="23" t="s">
        <v>35</v>
      </c>
      <c r="AC9" s="24" t="s">
        <v>36</v>
      </c>
      <c r="AD9" s="25" t="s">
        <v>37</v>
      </c>
      <c r="AE9" s="23" t="s">
        <v>38</v>
      </c>
      <c r="AF9" s="23" t="s">
        <v>39</v>
      </c>
      <c r="AG9" s="23" t="s">
        <v>40</v>
      </c>
      <c r="AH9" s="23" t="s">
        <v>41</v>
      </c>
      <c r="AI9" s="26" t="s">
        <v>42</v>
      </c>
      <c r="AJ9" s="29" t="s">
        <v>43</v>
      </c>
      <c r="AK9" s="25" t="s">
        <v>37</v>
      </c>
      <c r="AL9" s="23" t="s">
        <v>38</v>
      </c>
      <c r="AM9" s="23" t="s">
        <v>39</v>
      </c>
      <c r="AN9" s="23" t="s">
        <v>40</v>
      </c>
      <c r="AO9" s="23" t="s">
        <v>41</v>
      </c>
      <c r="AP9" s="26" t="s">
        <v>42</v>
      </c>
      <c r="AQ9" s="30" t="s">
        <v>44</v>
      </c>
      <c r="AR9" s="22" t="s">
        <v>45</v>
      </c>
      <c r="AS9" s="22" t="s">
        <v>46</v>
      </c>
      <c r="AT9" s="22" t="s">
        <v>47</v>
      </c>
      <c r="AU9" s="22" t="s">
        <v>48</v>
      </c>
      <c r="AV9" s="31" t="s">
        <v>49</v>
      </c>
      <c r="AW9" s="22" t="s">
        <v>50</v>
      </c>
      <c r="AX9" s="22" t="s">
        <v>51</v>
      </c>
      <c r="AY9" s="22" t="s">
        <v>52</v>
      </c>
      <c r="AZ9" s="22" t="s">
        <v>53</v>
      </c>
      <c r="BA9" s="22" t="s">
        <v>54</v>
      </c>
      <c r="BB9" s="22" t="s">
        <v>55</v>
      </c>
      <c r="BC9" s="22" t="s">
        <v>56</v>
      </c>
      <c r="BD9" s="32" t="s">
        <v>57</v>
      </c>
      <c r="BG9" s="34"/>
      <c r="BH9" s="34"/>
      <c r="BI9" s="34"/>
    </row>
    <row r="10" spans="1:61" s="58" customFormat="1" ht="14.5" thickTop="1">
      <c r="A10"/>
      <c r="B10" s="35" t="s">
        <v>58</v>
      </c>
      <c r="C10" s="35" t="s">
        <v>44</v>
      </c>
      <c r="D10" s="35">
        <v>7</v>
      </c>
      <c r="E10" s="35">
        <v>0</v>
      </c>
      <c r="F10" s="36">
        <v>2</v>
      </c>
      <c r="G10" s="36">
        <v>1</v>
      </c>
      <c r="H10" s="37"/>
      <c r="I10" s="38">
        <f>J10*0.8</f>
        <v>3174693.773207448</v>
      </c>
      <c r="J10" s="39">
        <v>3968367.2165093096</v>
      </c>
      <c r="K10" s="40">
        <f>J10*1.2</f>
        <v>4762040.6598111717</v>
      </c>
      <c r="L10" s="41">
        <f>9000*12</f>
        <v>108000</v>
      </c>
      <c r="M10" s="38">
        <v>167750</v>
      </c>
      <c r="N10" s="35">
        <f>ROUNDUP((J10-L10)/18,-1)</f>
        <v>214470</v>
      </c>
      <c r="O10" s="40">
        <f>ROUNDUP(N10*1.2,-1)</f>
        <v>257370</v>
      </c>
      <c r="P10" s="38">
        <f>M10*18</f>
        <v>3019500</v>
      </c>
      <c r="Q10" s="35">
        <f>N10*18</f>
        <v>3860460</v>
      </c>
      <c r="R10" s="37">
        <f t="shared" ref="P10:R28" si="1">O10*18</f>
        <v>4632660</v>
      </c>
      <c r="S10" s="42">
        <v>0.1</v>
      </c>
      <c r="T10" s="35">
        <f>ROUNDUP(M10*S10,-2)*12</f>
        <v>201600</v>
      </c>
      <c r="U10" s="37">
        <f>ROUNDUP(O10*S10,-2)*12</f>
        <v>309600</v>
      </c>
      <c r="V10" s="42">
        <v>0.04</v>
      </c>
      <c r="W10" s="35">
        <f>ROUNDUP(M10*V10,-2)*12</f>
        <v>81600</v>
      </c>
      <c r="X10" s="40">
        <f t="shared" ref="X10:X27" si="2">ROUNDUP(O10*V10,-2)*12</f>
        <v>123600</v>
      </c>
      <c r="Y10" s="43">
        <v>0.09</v>
      </c>
      <c r="Z10" s="44">
        <f>(Y10*$Y$8)</f>
        <v>6.3E-2</v>
      </c>
      <c r="AA10" s="44">
        <f>1-0.67-Z10</f>
        <v>0.26699999999999996</v>
      </c>
      <c r="AB10" s="44">
        <v>0.67</v>
      </c>
      <c r="AC10" s="45">
        <f t="shared" ref="AC10:AC25" si="3">18*Z10/6</f>
        <v>0.18899999999999997</v>
      </c>
      <c r="AD10" s="46">
        <f t="shared" ref="AD10:AD28" si="4">MAX(0,ROUND(AE10-AC10/2,3))</f>
        <v>0.71699999999999997</v>
      </c>
      <c r="AE10" s="47">
        <f t="shared" ref="AE10:AE28" si="5">ROUND(AG10-AC10,3)</f>
        <v>0.81100000000000005</v>
      </c>
      <c r="AF10" s="47">
        <f t="shared" ref="AF10:AF28" si="6">ROUND(AG10-AC10/2,3)</f>
        <v>0.90600000000000003</v>
      </c>
      <c r="AG10" s="47">
        <v>1</v>
      </c>
      <c r="AH10" s="47">
        <f t="shared" ref="AH10:AH28" si="7">ROUND(AG10+AC10/2,3)</f>
        <v>1.095</v>
      </c>
      <c r="AI10" s="48">
        <f t="shared" ref="AI10:AI28" si="8">ROUND(AC10+AG10,3)</f>
        <v>1.1890000000000001</v>
      </c>
      <c r="AJ10" s="49">
        <f>AK7</f>
        <v>6</v>
      </c>
      <c r="AK10" s="50">
        <f t="shared" ref="AK10:AP28" si="9">$AJ10*AD10</f>
        <v>4.3019999999999996</v>
      </c>
      <c r="AL10" s="51">
        <f t="shared" si="9"/>
        <v>4.8660000000000005</v>
      </c>
      <c r="AM10" s="51">
        <f t="shared" si="9"/>
        <v>5.4359999999999999</v>
      </c>
      <c r="AN10" s="51">
        <f t="shared" si="9"/>
        <v>6</v>
      </c>
      <c r="AO10" s="51">
        <f t="shared" si="9"/>
        <v>6.57</v>
      </c>
      <c r="AP10" s="52">
        <f t="shared" si="9"/>
        <v>7.1340000000000003</v>
      </c>
      <c r="AQ10" s="53">
        <f t="shared" ref="AQ10:BD14" si="10">IF(AP$5&gt;$Q10,ROUND((AP$5-$Q10)/$Q10*$AP$4,4),ROUND((AP$5-$Q10)/$Q10*$AQ$4,4))</f>
        <v>0</v>
      </c>
      <c r="AR10" s="54">
        <f t="shared" si="10"/>
        <v>3.9600000000000003E-2</v>
      </c>
      <c r="AS10" s="54">
        <f t="shared" si="10"/>
        <v>0.14119999999999999</v>
      </c>
      <c r="AT10" s="54">
        <f t="shared" si="10"/>
        <v>0.26900000000000002</v>
      </c>
      <c r="AU10" s="54">
        <f t="shared" si="10"/>
        <v>0.39090000000000003</v>
      </c>
      <c r="AV10" s="55">
        <f t="shared" si="10"/>
        <v>0.495</v>
      </c>
      <c r="AW10" s="54">
        <f t="shared" si="10"/>
        <v>0.55759999999999998</v>
      </c>
      <c r="AX10" s="54">
        <f t="shared" si="10"/>
        <v>0.76690000000000003</v>
      </c>
      <c r="AY10" s="54">
        <f t="shared" si="10"/>
        <v>1.1196999999999999</v>
      </c>
      <c r="AZ10" s="54">
        <f t="shared" si="10"/>
        <v>1.3143</v>
      </c>
      <c r="BA10" s="54">
        <f t="shared" si="10"/>
        <v>1.5089999999999999</v>
      </c>
      <c r="BB10" s="54">
        <f t="shared" si="10"/>
        <v>1.7359</v>
      </c>
      <c r="BC10" s="54">
        <f t="shared" si="10"/>
        <v>1.9626999999999999</v>
      </c>
      <c r="BD10" s="56">
        <f t="shared" si="10"/>
        <v>2.1896</v>
      </c>
      <c r="BE10" s="57" t="s">
        <v>58</v>
      </c>
      <c r="BG10" s="59"/>
      <c r="BH10" s="59"/>
      <c r="BI10" s="59"/>
    </row>
    <row r="11" spans="1:61" s="58" customFormat="1" ht="14">
      <c r="A11" t="s">
        <v>114</v>
      </c>
      <c r="B11" s="60" t="s">
        <v>59</v>
      </c>
      <c r="C11" s="60" t="s">
        <v>60</v>
      </c>
      <c r="D11" s="61">
        <v>8</v>
      </c>
      <c r="E11" s="60">
        <v>1</v>
      </c>
      <c r="F11" s="62">
        <v>2</v>
      </c>
      <c r="G11" s="62">
        <v>1</v>
      </c>
      <c r="H11" s="63"/>
      <c r="I11" s="64">
        <f t="shared" ref="I11:I27" si="11">J11*0.8</f>
        <v>3582688.350946771</v>
      </c>
      <c r="J11" s="65">
        <v>4478360.4386834633</v>
      </c>
      <c r="K11" s="66">
        <f t="shared" ref="K11:K28" si="12">J11*1.2</f>
        <v>5374032.5264201555</v>
      </c>
      <c r="L11" s="67">
        <f t="shared" ref="L11:L14" si="13">9000*12</f>
        <v>108000</v>
      </c>
      <c r="M11" s="64">
        <f>ROUNDUP(N11*0.8,-1)</f>
        <v>194240</v>
      </c>
      <c r="N11" s="60">
        <f>ROUNDUP((J11-L11)/18,-1)</f>
        <v>242800</v>
      </c>
      <c r="O11" s="66">
        <f>ROUNDUP(N11*1.2,-1)</f>
        <v>291360</v>
      </c>
      <c r="P11" s="64">
        <f t="shared" si="1"/>
        <v>3496320</v>
      </c>
      <c r="Q11" s="60">
        <f t="shared" si="1"/>
        <v>4370400</v>
      </c>
      <c r="R11" s="63">
        <f t="shared" si="1"/>
        <v>5244480</v>
      </c>
      <c r="S11" s="68">
        <v>0.1</v>
      </c>
      <c r="T11" s="60">
        <f t="shared" ref="T11:T27" si="14">ROUNDUP(M11*S11,-2)*12</f>
        <v>234000</v>
      </c>
      <c r="U11" s="63">
        <f t="shared" ref="U11:U27" si="15">ROUNDUP(O11*S11,-2)*12</f>
        <v>350400</v>
      </c>
      <c r="V11" s="68">
        <v>0.04</v>
      </c>
      <c r="W11" s="60">
        <f t="shared" ref="W11:W27" si="16">ROUNDUP(M11*V11,-2)*12</f>
        <v>93600</v>
      </c>
      <c r="X11" s="66">
        <f t="shared" si="2"/>
        <v>140400</v>
      </c>
      <c r="Y11" s="69">
        <v>0.1</v>
      </c>
      <c r="Z11" s="70">
        <f>(Y11*$Y$8)</f>
        <v>6.9999999999999993E-2</v>
      </c>
      <c r="AA11" s="70">
        <f t="shared" ref="AA11:AA27" si="17">1-0.67-Z11</f>
        <v>0.25999999999999995</v>
      </c>
      <c r="AB11" s="70">
        <v>0.67</v>
      </c>
      <c r="AC11" s="71">
        <f>18*Z11/6</f>
        <v>0.20999999999999996</v>
      </c>
      <c r="AD11" s="72">
        <f t="shared" si="4"/>
        <v>0.68500000000000005</v>
      </c>
      <c r="AE11" s="73">
        <f t="shared" si="5"/>
        <v>0.79</v>
      </c>
      <c r="AF11" s="73">
        <f t="shared" si="6"/>
        <v>0.89500000000000002</v>
      </c>
      <c r="AG11" s="73">
        <v>1</v>
      </c>
      <c r="AH11" s="73">
        <f t="shared" si="7"/>
        <v>1.105</v>
      </c>
      <c r="AI11" s="74">
        <f t="shared" si="8"/>
        <v>1.21</v>
      </c>
      <c r="AJ11" s="75">
        <f>$AJ$10</f>
        <v>6</v>
      </c>
      <c r="AK11" s="76">
        <f t="shared" si="9"/>
        <v>4.1100000000000003</v>
      </c>
      <c r="AL11" s="77">
        <f t="shared" si="9"/>
        <v>4.74</v>
      </c>
      <c r="AM11" s="77">
        <f t="shared" si="9"/>
        <v>5.37</v>
      </c>
      <c r="AN11" s="77">
        <f t="shared" si="9"/>
        <v>6</v>
      </c>
      <c r="AO11" s="77">
        <f t="shared" si="9"/>
        <v>6.63</v>
      </c>
      <c r="AP11" s="78">
        <f t="shared" si="9"/>
        <v>7.26</v>
      </c>
      <c r="AQ11" s="79">
        <f t="shared" si="10"/>
        <v>-2.3300000000000001E-2</v>
      </c>
      <c r="AR11" s="80">
        <f t="shared" si="10"/>
        <v>0</v>
      </c>
      <c r="AS11" s="80">
        <f t="shared" si="10"/>
        <v>8.9700000000000002E-2</v>
      </c>
      <c r="AT11" s="80">
        <f t="shared" si="10"/>
        <v>0.2026</v>
      </c>
      <c r="AU11" s="80">
        <f t="shared" si="10"/>
        <v>0.31030000000000002</v>
      </c>
      <c r="AV11" s="81">
        <f t="shared" si="10"/>
        <v>0.40229999999999999</v>
      </c>
      <c r="AW11" s="80">
        <f t="shared" si="10"/>
        <v>0.45750000000000002</v>
      </c>
      <c r="AX11" s="80">
        <f t="shared" si="10"/>
        <v>0.64249999999999996</v>
      </c>
      <c r="AY11" s="80">
        <f t="shared" si="10"/>
        <v>0.95399999999999996</v>
      </c>
      <c r="AZ11" s="80">
        <f t="shared" si="10"/>
        <v>1.1259999999999999</v>
      </c>
      <c r="BA11" s="80">
        <f t="shared" si="10"/>
        <v>1.2979000000000001</v>
      </c>
      <c r="BB11" s="80">
        <f t="shared" si="10"/>
        <v>1.4983</v>
      </c>
      <c r="BC11" s="80">
        <f t="shared" si="10"/>
        <v>1.6987000000000001</v>
      </c>
      <c r="BD11" s="82">
        <f t="shared" si="10"/>
        <v>1.8991</v>
      </c>
      <c r="BE11" s="57" t="s">
        <v>61</v>
      </c>
      <c r="BF11" s="83"/>
      <c r="BG11" s="59"/>
      <c r="BH11" s="59"/>
      <c r="BI11" s="59"/>
    </row>
    <row r="12" spans="1:61" s="58" customFormat="1" ht="14">
      <c r="A12" t="s">
        <v>114</v>
      </c>
      <c r="B12" s="60" t="s">
        <v>62</v>
      </c>
      <c r="C12" s="60" t="s">
        <v>46</v>
      </c>
      <c r="D12" s="61">
        <v>9</v>
      </c>
      <c r="E12" s="60">
        <v>2</v>
      </c>
      <c r="F12" s="62">
        <v>2</v>
      </c>
      <c r="G12" s="62">
        <v>1</v>
      </c>
      <c r="H12" s="63"/>
      <c r="I12" s="64">
        <f t="shared" si="11"/>
        <v>4627802.7871602206</v>
      </c>
      <c r="J12" s="65">
        <v>5784753.483950275</v>
      </c>
      <c r="K12" s="66">
        <f>J12*1.2</f>
        <v>6941704.1807403294</v>
      </c>
      <c r="L12" s="67">
        <f t="shared" si="13"/>
        <v>108000</v>
      </c>
      <c r="M12" s="64">
        <f>ROUNDUP(N12*0.8,-1)</f>
        <v>252310</v>
      </c>
      <c r="N12" s="60">
        <f t="shared" ref="N12:N28" si="18">ROUNDUP((J12-L12)/18,-1)</f>
        <v>315380</v>
      </c>
      <c r="O12" s="66">
        <f>ROUNDUP(N12*1.2,-1)</f>
        <v>378460</v>
      </c>
      <c r="P12" s="64">
        <f t="shared" si="1"/>
        <v>4541580</v>
      </c>
      <c r="Q12" s="60">
        <f t="shared" si="1"/>
        <v>5676840</v>
      </c>
      <c r="R12" s="63">
        <f t="shared" si="1"/>
        <v>6812280</v>
      </c>
      <c r="S12" s="68">
        <v>0.1</v>
      </c>
      <c r="T12" s="60">
        <f t="shared" si="14"/>
        <v>303600</v>
      </c>
      <c r="U12" s="63">
        <f t="shared" si="15"/>
        <v>454800</v>
      </c>
      <c r="V12" s="68">
        <v>0.04</v>
      </c>
      <c r="W12" s="60">
        <f t="shared" si="16"/>
        <v>121200</v>
      </c>
      <c r="X12" s="66">
        <f t="shared" si="2"/>
        <v>182400</v>
      </c>
      <c r="Y12" s="69">
        <v>0.11</v>
      </c>
      <c r="Z12" s="70">
        <f>(Y12*$Y$8)</f>
        <v>7.6999999999999999E-2</v>
      </c>
      <c r="AA12" s="70">
        <f t="shared" si="17"/>
        <v>0.25299999999999995</v>
      </c>
      <c r="AB12" s="70">
        <v>0.67</v>
      </c>
      <c r="AC12" s="71">
        <f t="shared" si="3"/>
        <v>0.23099999999999998</v>
      </c>
      <c r="AD12" s="72">
        <f t="shared" si="4"/>
        <v>0.65400000000000003</v>
      </c>
      <c r="AE12" s="73">
        <f t="shared" si="5"/>
        <v>0.76900000000000002</v>
      </c>
      <c r="AF12" s="73">
        <f t="shared" si="6"/>
        <v>0.88500000000000001</v>
      </c>
      <c r="AG12" s="73">
        <v>1</v>
      </c>
      <c r="AH12" s="73">
        <f t="shared" si="7"/>
        <v>1.1160000000000001</v>
      </c>
      <c r="AI12" s="74">
        <f t="shared" si="8"/>
        <v>1.2310000000000001</v>
      </c>
      <c r="AJ12" s="75">
        <f t="shared" ref="AJ12:AJ27" si="19">$AJ$10</f>
        <v>6</v>
      </c>
      <c r="AK12" s="76">
        <f t="shared" si="9"/>
        <v>3.9240000000000004</v>
      </c>
      <c r="AL12" s="77">
        <f t="shared" si="9"/>
        <v>4.6139999999999999</v>
      </c>
      <c r="AM12" s="77">
        <f t="shared" si="9"/>
        <v>5.3100000000000005</v>
      </c>
      <c r="AN12" s="77">
        <f t="shared" si="9"/>
        <v>6</v>
      </c>
      <c r="AO12" s="77">
        <f t="shared" si="9"/>
        <v>6.6960000000000006</v>
      </c>
      <c r="AP12" s="78">
        <f t="shared" si="9"/>
        <v>7.386000000000001</v>
      </c>
      <c r="AQ12" s="79">
        <f t="shared" si="10"/>
        <v>-6.4000000000000001E-2</v>
      </c>
      <c r="AR12" s="80">
        <f t="shared" si="10"/>
        <v>-4.5999999999999999E-2</v>
      </c>
      <c r="AS12" s="80">
        <f t="shared" si="10"/>
        <v>0</v>
      </c>
      <c r="AT12" s="80">
        <f t="shared" si="10"/>
        <v>8.6900000000000005E-2</v>
      </c>
      <c r="AU12" s="80">
        <f t="shared" si="10"/>
        <v>0.1699</v>
      </c>
      <c r="AV12" s="81">
        <f t="shared" si="10"/>
        <v>0.2407</v>
      </c>
      <c r="AW12" s="80">
        <f t="shared" si="10"/>
        <v>0.28320000000000001</v>
      </c>
      <c r="AX12" s="80">
        <f t="shared" si="10"/>
        <v>0.42559999999999998</v>
      </c>
      <c r="AY12" s="80">
        <f t="shared" si="10"/>
        <v>0.66539999999999999</v>
      </c>
      <c r="AZ12" s="80">
        <f t="shared" si="10"/>
        <v>0.79779999999999995</v>
      </c>
      <c r="BA12" s="80">
        <f t="shared" si="10"/>
        <v>0.93020000000000003</v>
      </c>
      <c r="BB12" s="80">
        <f t="shared" si="10"/>
        <v>1.0845</v>
      </c>
      <c r="BC12" s="80">
        <f t="shared" si="10"/>
        <v>1.2386999999999999</v>
      </c>
      <c r="BD12" s="82">
        <f t="shared" si="10"/>
        <v>1.393</v>
      </c>
      <c r="BE12" s="57" t="s">
        <v>63</v>
      </c>
      <c r="BF12" s="83"/>
      <c r="BG12" s="59"/>
      <c r="BH12" s="59"/>
      <c r="BI12" s="59"/>
    </row>
    <row r="13" spans="1:61" s="58" customFormat="1" ht="14">
      <c r="A13" t="s">
        <v>114</v>
      </c>
      <c r="B13" s="60" t="s">
        <v>64</v>
      </c>
      <c r="C13" s="60" t="s">
        <v>47</v>
      </c>
      <c r="D13" s="61">
        <v>10</v>
      </c>
      <c r="E13" s="60">
        <v>3</v>
      </c>
      <c r="F13" s="62">
        <v>2</v>
      </c>
      <c r="G13" s="62">
        <v>1</v>
      </c>
      <c r="H13" s="63"/>
      <c r="I13" s="64">
        <f t="shared" si="11"/>
        <v>5944019.7473338638</v>
      </c>
      <c r="J13" s="65">
        <v>7430024.6841673292</v>
      </c>
      <c r="K13" s="66">
        <v>9622600</v>
      </c>
      <c r="L13" s="67">
        <f t="shared" si="13"/>
        <v>108000</v>
      </c>
      <c r="M13" s="64">
        <f>ROUNDUP(N13*0.8,-1)</f>
        <v>325430</v>
      </c>
      <c r="N13" s="60">
        <f t="shared" si="18"/>
        <v>406780</v>
      </c>
      <c r="O13" s="66">
        <v>528590</v>
      </c>
      <c r="P13" s="64">
        <f t="shared" si="1"/>
        <v>5857740</v>
      </c>
      <c r="Q13" s="60">
        <f t="shared" si="1"/>
        <v>7322040</v>
      </c>
      <c r="R13" s="63">
        <f t="shared" si="1"/>
        <v>9514620</v>
      </c>
      <c r="S13" s="68">
        <v>0.1</v>
      </c>
      <c r="T13" s="60">
        <f t="shared" si="14"/>
        <v>391200</v>
      </c>
      <c r="U13" s="63">
        <f t="shared" si="15"/>
        <v>634800</v>
      </c>
      <c r="V13" s="68">
        <v>0.04</v>
      </c>
      <c r="W13" s="60">
        <f t="shared" si="16"/>
        <v>157200</v>
      </c>
      <c r="X13" s="66">
        <f t="shared" si="2"/>
        <v>254400</v>
      </c>
      <c r="Y13" s="69">
        <v>0.12</v>
      </c>
      <c r="Z13" s="70">
        <f>(Y13*$Y$8)</f>
        <v>8.3999999999999991E-2</v>
      </c>
      <c r="AA13" s="70">
        <f t="shared" si="17"/>
        <v>0.24599999999999997</v>
      </c>
      <c r="AB13" s="70">
        <v>0.67</v>
      </c>
      <c r="AC13" s="71">
        <f t="shared" si="3"/>
        <v>0.25199999999999995</v>
      </c>
      <c r="AD13" s="72">
        <f t="shared" si="4"/>
        <v>0.622</v>
      </c>
      <c r="AE13" s="73">
        <f t="shared" si="5"/>
        <v>0.748</v>
      </c>
      <c r="AF13" s="73">
        <f t="shared" si="6"/>
        <v>0.874</v>
      </c>
      <c r="AG13" s="73">
        <v>1</v>
      </c>
      <c r="AH13" s="73">
        <f t="shared" si="7"/>
        <v>1.1259999999999999</v>
      </c>
      <c r="AI13" s="74">
        <f t="shared" si="8"/>
        <v>1.252</v>
      </c>
      <c r="AJ13" s="75">
        <f t="shared" si="19"/>
        <v>6</v>
      </c>
      <c r="AK13" s="76">
        <f t="shared" si="9"/>
        <v>3.7320000000000002</v>
      </c>
      <c r="AL13" s="77">
        <f t="shared" si="9"/>
        <v>4.4879999999999995</v>
      </c>
      <c r="AM13" s="77">
        <f t="shared" si="9"/>
        <v>5.2439999999999998</v>
      </c>
      <c r="AN13" s="77">
        <f t="shared" si="9"/>
        <v>6</v>
      </c>
      <c r="AO13" s="77">
        <f t="shared" si="9"/>
        <v>6.7559999999999993</v>
      </c>
      <c r="AP13" s="78">
        <f t="shared" si="9"/>
        <v>7.5120000000000005</v>
      </c>
      <c r="AQ13" s="79">
        <f t="shared" si="10"/>
        <v>-9.4600000000000004E-2</v>
      </c>
      <c r="AR13" s="80">
        <f t="shared" si="10"/>
        <v>-8.0600000000000005E-2</v>
      </c>
      <c r="AS13" s="80">
        <f t="shared" si="10"/>
        <v>-4.4900000000000002E-2</v>
      </c>
      <c r="AT13" s="80">
        <f t="shared" si="10"/>
        <v>0</v>
      </c>
      <c r="AU13" s="80">
        <f t="shared" si="10"/>
        <v>6.4299999999999996E-2</v>
      </c>
      <c r="AV13" s="81">
        <f t="shared" si="10"/>
        <v>0.1192</v>
      </c>
      <c r="AW13" s="80">
        <f t="shared" si="10"/>
        <v>0.15210000000000001</v>
      </c>
      <c r="AX13" s="80">
        <f t="shared" si="10"/>
        <v>0.26250000000000001</v>
      </c>
      <c r="AY13" s="80">
        <f t="shared" si="10"/>
        <v>0.44850000000000001</v>
      </c>
      <c r="AZ13" s="80">
        <f t="shared" si="10"/>
        <v>0.55110000000000003</v>
      </c>
      <c r="BA13" s="80">
        <f t="shared" si="10"/>
        <v>0.65380000000000005</v>
      </c>
      <c r="BB13" s="80">
        <f t="shared" si="10"/>
        <v>0.77339999999999998</v>
      </c>
      <c r="BC13" s="80">
        <f t="shared" si="10"/>
        <v>0.89300000000000002</v>
      </c>
      <c r="BD13" s="82">
        <f t="shared" si="10"/>
        <v>1.0125999999999999</v>
      </c>
      <c r="BE13" s="57" t="s">
        <v>65</v>
      </c>
      <c r="BF13" s="83"/>
      <c r="BG13" s="59"/>
      <c r="BH13" s="59"/>
      <c r="BI13" s="59"/>
    </row>
    <row r="14" spans="1:61" s="58" customFormat="1" ht="14">
      <c r="A14" t="s">
        <v>114</v>
      </c>
      <c r="B14" s="60" t="s">
        <v>66</v>
      </c>
      <c r="C14" s="60" t="s">
        <v>67</v>
      </c>
      <c r="D14" s="61">
        <v>11</v>
      </c>
      <c r="E14" s="60">
        <v>4</v>
      </c>
      <c r="F14" s="62">
        <v>2</v>
      </c>
      <c r="G14" s="62">
        <v>1</v>
      </c>
      <c r="H14" s="63"/>
      <c r="I14" s="64">
        <f t="shared" si="11"/>
        <v>7199075.0658682436</v>
      </c>
      <c r="J14" s="65">
        <v>8998843.8323353045</v>
      </c>
      <c r="K14" s="66">
        <f t="shared" si="12"/>
        <v>10798612.598802365</v>
      </c>
      <c r="L14" s="67">
        <f t="shared" si="13"/>
        <v>108000</v>
      </c>
      <c r="M14" s="64">
        <f>ROUNDUP(N14*0.8,-1)</f>
        <v>395160</v>
      </c>
      <c r="N14" s="60">
        <f t="shared" si="18"/>
        <v>493940</v>
      </c>
      <c r="O14" s="66">
        <f>ROUNDUP(N14*1.2,-1)</f>
        <v>592730</v>
      </c>
      <c r="P14" s="57">
        <f t="shared" si="1"/>
        <v>7112880</v>
      </c>
      <c r="Q14" s="60">
        <f t="shared" si="1"/>
        <v>8890920</v>
      </c>
      <c r="R14" s="63">
        <f t="shared" si="1"/>
        <v>10669140</v>
      </c>
      <c r="S14" s="68">
        <v>0.1</v>
      </c>
      <c r="T14" s="60">
        <f t="shared" si="14"/>
        <v>475200</v>
      </c>
      <c r="U14" s="63">
        <f t="shared" si="15"/>
        <v>711600</v>
      </c>
      <c r="V14" s="68">
        <v>0.04</v>
      </c>
      <c r="W14" s="60">
        <f t="shared" si="16"/>
        <v>190800</v>
      </c>
      <c r="X14" s="66">
        <f t="shared" si="2"/>
        <v>285600</v>
      </c>
      <c r="Y14" s="69">
        <v>0.125</v>
      </c>
      <c r="Z14" s="70">
        <f>(Y14*$Y$8)</f>
        <v>8.7499999999999994E-2</v>
      </c>
      <c r="AA14" s="70">
        <f t="shared" si="17"/>
        <v>0.24249999999999997</v>
      </c>
      <c r="AB14" s="70">
        <v>0.67</v>
      </c>
      <c r="AC14" s="71">
        <f t="shared" si="3"/>
        <v>0.26250000000000001</v>
      </c>
      <c r="AD14" s="72">
        <f t="shared" si="4"/>
        <v>0.60699999999999998</v>
      </c>
      <c r="AE14" s="73">
        <f t="shared" si="5"/>
        <v>0.73799999999999999</v>
      </c>
      <c r="AF14" s="73">
        <f t="shared" si="6"/>
        <v>0.86899999999999999</v>
      </c>
      <c r="AG14" s="73">
        <v>1</v>
      </c>
      <c r="AH14" s="73">
        <f t="shared" si="7"/>
        <v>1.131</v>
      </c>
      <c r="AI14" s="74">
        <f t="shared" si="8"/>
        <v>1.2629999999999999</v>
      </c>
      <c r="AJ14" s="75">
        <f t="shared" si="19"/>
        <v>6</v>
      </c>
      <c r="AK14" s="76">
        <f t="shared" si="9"/>
        <v>3.6419999999999999</v>
      </c>
      <c r="AL14" s="77">
        <f t="shared" si="9"/>
        <v>4.4279999999999999</v>
      </c>
      <c r="AM14" s="77">
        <f t="shared" si="9"/>
        <v>5.2140000000000004</v>
      </c>
      <c r="AN14" s="77">
        <f t="shared" si="9"/>
        <v>6</v>
      </c>
      <c r="AO14" s="77">
        <f t="shared" si="9"/>
        <v>6.7859999999999996</v>
      </c>
      <c r="AP14" s="78">
        <f t="shared" si="9"/>
        <v>7.5779999999999994</v>
      </c>
      <c r="AQ14" s="79">
        <f t="shared" si="10"/>
        <v>-0.1132</v>
      </c>
      <c r="AR14" s="80">
        <f t="shared" si="10"/>
        <v>-0.1017</v>
      </c>
      <c r="AS14" s="80">
        <f t="shared" si="10"/>
        <v>-7.2300000000000003E-2</v>
      </c>
      <c r="AT14" s="80">
        <f t="shared" si="10"/>
        <v>-3.5299999999999998E-2</v>
      </c>
      <c r="AU14" s="80">
        <f t="shared" si="10"/>
        <v>0</v>
      </c>
      <c r="AV14" s="81">
        <f t="shared" si="10"/>
        <v>4.5199999999999997E-2</v>
      </c>
      <c r="AW14" s="80">
        <f t="shared" si="10"/>
        <v>7.2400000000000006E-2</v>
      </c>
      <c r="AX14" s="80">
        <f t="shared" si="10"/>
        <v>0.1633</v>
      </c>
      <c r="AY14" s="80">
        <f t="shared" si="10"/>
        <v>0.31640000000000001</v>
      </c>
      <c r="AZ14" s="80">
        <f t="shared" si="10"/>
        <v>0.40089999999999998</v>
      </c>
      <c r="BA14" s="80">
        <f t="shared" si="10"/>
        <v>0.48549999999999999</v>
      </c>
      <c r="BB14" s="80">
        <f t="shared" si="10"/>
        <v>0.58399999999999996</v>
      </c>
      <c r="BC14" s="80">
        <f t="shared" si="10"/>
        <v>0.6825</v>
      </c>
      <c r="BD14" s="82">
        <f t="shared" si="10"/>
        <v>0.78100000000000003</v>
      </c>
      <c r="BE14" s="57" t="s">
        <v>68</v>
      </c>
      <c r="BF14" s="83"/>
      <c r="BG14" s="59"/>
      <c r="BH14" s="59"/>
      <c r="BI14" s="59"/>
    </row>
    <row r="15" spans="1:61" s="58" customFormat="1" ht="14">
      <c r="A15" t="s">
        <v>116</v>
      </c>
      <c r="B15" s="60" t="s">
        <v>58</v>
      </c>
      <c r="C15" s="60" t="s">
        <v>69</v>
      </c>
      <c r="D15" s="35" t="s">
        <v>44</v>
      </c>
      <c r="E15" s="60">
        <v>0</v>
      </c>
      <c r="F15" s="62">
        <v>2</v>
      </c>
      <c r="G15" s="62">
        <v>2</v>
      </c>
      <c r="H15" s="63">
        <f>(125730-106730)*8</f>
        <v>152000</v>
      </c>
      <c r="I15" s="64">
        <f t="shared" si="11"/>
        <v>3053093.773207448</v>
      </c>
      <c r="J15" s="65">
        <f>J10-H15</f>
        <v>3816367.2165093096</v>
      </c>
      <c r="K15" s="66">
        <f t="shared" si="12"/>
        <v>4579640.6598111717</v>
      </c>
      <c r="L15" s="67">
        <f>28000*12</f>
        <v>336000</v>
      </c>
      <c r="M15" s="355">
        <v>148190</v>
      </c>
      <c r="N15" s="60">
        <f t="shared" si="18"/>
        <v>193360</v>
      </c>
      <c r="O15" s="66">
        <f>ROUNDUP(N15*1.2,-1)</f>
        <v>232040</v>
      </c>
      <c r="P15" s="64">
        <f>M15*18</f>
        <v>2667420</v>
      </c>
      <c r="Q15" s="60">
        <f>N15*18</f>
        <v>3480480</v>
      </c>
      <c r="R15" s="66">
        <f t="shared" si="1"/>
        <v>4176720</v>
      </c>
      <c r="S15" s="68">
        <v>0.1</v>
      </c>
      <c r="T15" s="60">
        <f t="shared" si="14"/>
        <v>178800</v>
      </c>
      <c r="U15" s="66">
        <f t="shared" si="15"/>
        <v>279600</v>
      </c>
      <c r="V15" s="68">
        <v>0.04</v>
      </c>
      <c r="W15" s="60">
        <f t="shared" si="16"/>
        <v>72000</v>
      </c>
      <c r="X15" s="66">
        <f t="shared" si="2"/>
        <v>111600</v>
      </c>
      <c r="Y15" s="69">
        <v>0.09</v>
      </c>
      <c r="Z15" s="70">
        <f t="shared" ref="Z15:Z18" si="20">(Y15*$Y$8)</f>
        <v>6.3E-2</v>
      </c>
      <c r="AA15" s="70">
        <f t="shared" si="17"/>
        <v>0.26699999999999996</v>
      </c>
      <c r="AB15" s="70">
        <v>0.67</v>
      </c>
      <c r="AC15" s="71">
        <f t="shared" si="3"/>
        <v>0.18899999999999997</v>
      </c>
      <c r="AD15" s="72">
        <f t="shared" si="4"/>
        <v>0.71699999999999997</v>
      </c>
      <c r="AE15" s="73">
        <f t="shared" si="5"/>
        <v>0.81100000000000005</v>
      </c>
      <c r="AF15" s="73">
        <f t="shared" si="6"/>
        <v>0.90600000000000003</v>
      </c>
      <c r="AG15" s="73">
        <v>1</v>
      </c>
      <c r="AH15" s="73">
        <f t="shared" si="7"/>
        <v>1.095</v>
      </c>
      <c r="AI15" s="74">
        <f t="shared" si="8"/>
        <v>1.1890000000000001</v>
      </c>
      <c r="AJ15" s="75">
        <v>6</v>
      </c>
      <c r="AK15" s="76">
        <f t="shared" si="9"/>
        <v>4.3019999999999996</v>
      </c>
      <c r="AL15" s="77">
        <f t="shared" si="9"/>
        <v>4.8660000000000005</v>
      </c>
      <c r="AM15" s="77">
        <f t="shared" si="9"/>
        <v>5.4359999999999999</v>
      </c>
      <c r="AN15" s="77">
        <f t="shared" si="9"/>
        <v>6</v>
      </c>
      <c r="AO15" s="77">
        <f t="shared" si="9"/>
        <v>6.57</v>
      </c>
      <c r="AP15" s="78">
        <f t="shared" si="9"/>
        <v>7.1340000000000003</v>
      </c>
      <c r="AQ15" s="79">
        <f>AQ10</f>
        <v>0</v>
      </c>
      <c r="AR15" s="80">
        <f t="shared" ref="AR15:BD15" si="21">AR10</f>
        <v>3.9600000000000003E-2</v>
      </c>
      <c r="AS15" s="80">
        <f t="shared" si="21"/>
        <v>0.14119999999999999</v>
      </c>
      <c r="AT15" s="80">
        <f t="shared" si="21"/>
        <v>0.26900000000000002</v>
      </c>
      <c r="AU15" s="80">
        <f t="shared" si="21"/>
        <v>0.39090000000000003</v>
      </c>
      <c r="AV15" s="81">
        <f t="shared" si="21"/>
        <v>0.495</v>
      </c>
      <c r="AW15" s="80">
        <f t="shared" si="21"/>
        <v>0.55759999999999998</v>
      </c>
      <c r="AX15" s="80">
        <f t="shared" si="21"/>
        <v>0.76690000000000003</v>
      </c>
      <c r="AY15" s="80">
        <f t="shared" si="21"/>
        <v>1.1196999999999999</v>
      </c>
      <c r="AZ15" s="80">
        <f t="shared" si="21"/>
        <v>1.3143</v>
      </c>
      <c r="BA15" s="80">
        <f t="shared" si="21"/>
        <v>1.5089999999999999</v>
      </c>
      <c r="BB15" s="80">
        <f t="shared" si="21"/>
        <v>1.7359</v>
      </c>
      <c r="BC15" s="80">
        <f t="shared" si="21"/>
        <v>1.9626999999999999</v>
      </c>
      <c r="BD15" s="82">
        <f t="shared" si="21"/>
        <v>2.1896</v>
      </c>
      <c r="BE15" s="57" t="s">
        <v>58</v>
      </c>
      <c r="BG15" s="59"/>
      <c r="BH15" s="59"/>
      <c r="BI15" s="59"/>
    </row>
    <row r="16" spans="1:61" s="58" customFormat="1" ht="14">
      <c r="A16" t="s">
        <v>115</v>
      </c>
      <c r="B16" s="60" t="s">
        <v>61</v>
      </c>
      <c r="C16" s="60" t="s">
        <v>69</v>
      </c>
      <c r="D16" s="60" t="s">
        <v>60</v>
      </c>
      <c r="E16" s="60">
        <v>1</v>
      </c>
      <c r="F16" s="62">
        <v>2</v>
      </c>
      <c r="G16" s="62">
        <v>2</v>
      </c>
      <c r="H16" s="63">
        <f>(125730-106730)*8</f>
        <v>152000</v>
      </c>
      <c r="I16" s="64">
        <f t="shared" si="11"/>
        <v>3461088.350946771</v>
      </c>
      <c r="J16" s="65">
        <f t="shared" ref="J16:J18" si="22">J11-H16</f>
        <v>4326360.4386834633</v>
      </c>
      <c r="K16" s="66">
        <f t="shared" si="12"/>
        <v>5191632.5264201555</v>
      </c>
      <c r="L16" s="67">
        <f t="shared" ref="L16:L19" si="23">28000*12</f>
        <v>336000</v>
      </c>
      <c r="M16" s="64">
        <f t="shared" ref="M16:M18" si="24">ROUNDUP(N16*0.8,-1)</f>
        <v>177360</v>
      </c>
      <c r="N16" s="60">
        <f t="shared" si="18"/>
        <v>221690</v>
      </c>
      <c r="O16" s="66">
        <f>ROUNDUP(N16*1.2,-1)</f>
        <v>266030</v>
      </c>
      <c r="P16" s="64">
        <f t="shared" si="1"/>
        <v>3192480</v>
      </c>
      <c r="Q16" s="60">
        <f t="shared" si="1"/>
        <v>3990420</v>
      </c>
      <c r="R16" s="66">
        <f t="shared" si="1"/>
        <v>4788540</v>
      </c>
      <c r="S16" s="68">
        <v>0.1</v>
      </c>
      <c r="T16" s="60">
        <f t="shared" si="14"/>
        <v>213600</v>
      </c>
      <c r="U16" s="66">
        <f t="shared" si="15"/>
        <v>320400</v>
      </c>
      <c r="V16" s="68">
        <v>0.04</v>
      </c>
      <c r="W16" s="60">
        <f t="shared" si="16"/>
        <v>85200</v>
      </c>
      <c r="X16" s="66">
        <f t="shared" si="2"/>
        <v>128400</v>
      </c>
      <c r="Y16" s="69">
        <v>0.1</v>
      </c>
      <c r="Z16" s="70">
        <f t="shared" si="20"/>
        <v>6.9999999999999993E-2</v>
      </c>
      <c r="AA16" s="70">
        <f t="shared" si="17"/>
        <v>0.25999999999999995</v>
      </c>
      <c r="AB16" s="70">
        <v>0.67</v>
      </c>
      <c r="AC16" s="71">
        <f t="shared" si="3"/>
        <v>0.20999999999999996</v>
      </c>
      <c r="AD16" s="72">
        <f t="shared" si="4"/>
        <v>0.68500000000000005</v>
      </c>
      <c r="AE16" s="73">
        <f t="shared" si="5"/>
        <v>0.79</v>
      </c>
      <c r="AF16" s="73">
        <f t="shared" si="6"/>
        <v>0.89500000000000002</v>
      </c>
      <c r="AG16" s="73">
        <v>1</v>
      </c>
      <c r="AH16" s="73">
        <f t="shared" si="7"/>
        <v>1.105</v>
      </c>
      <c r="AI16" s="74">
        <f t="shared" si="8"/>
        <v>1.21</v>
      </c>
      <c r="AJ16" s="75">
        <v>6</v>
      </c>
      <c r="AK16" s="76">
        <f t="shared" si="9"/>
        <v>4.1100000000000003</v>
      </c>
      <c r="AL16" s="77">
        <f t="shared" si="9"/>
        <v>4.74</v>
      </c>
      <c r="AM16" s="77">
        <f t="shared" si="9"/>
        <v>5.37</v>
      </c>
      <c r="AN16" s="77">
        <f t="shared" si="9"/>
        <v>6</v>
      </c>
      <c r="AO16" s="77">
        <f t="shared" si="9"/>
        <v>6.63</v>
      </c>
      <c r="AP16" s="78">
        <f t="shared" si="9"/>
        <v>7.26</v>
      </c>
      <c r="AQ16" s="79">
        <f t="shared" ref="AQ16:BD19" si="25">AQ11</f>
        <v>-2.3300000000000001E-2</v>
      </c>
      <c r="AR16" s="80">
        <f t="shared" si="25"/>
        <v>0</v>
      </c>
      <c r="AS16" s="80">
        <f t="shared" si="25"/>
        <v>8.9700000000000002E-2</v>
      </c>
      <c r="AT16" s="80">
        <f t="shared" si="25"/>
        <v>0.2026</v>
      </c>
      <c r="AU16" s="80">
        <f t="shared" si="25"/>
        <v>0.31030000000000002</v>
      </c>
      <c r="AV16" s="81">
        <f t="shared" si="25"/>
        <v>0.40229999999999999</v>
      </c>
      <c r="AW16" s="80">
        <f t="shared" si="25"/>
        <v>0.45750000000000002</v>
      </c>
      <c r="AX16" s="80">
        <f t="shared" si="25"/>
        <v>0.64249999999999996</v>
      </c>
      <c r="AY16" s="80">
        <f t="shared" si="25"/>
        <v>0.95399999999999996</v>
      </c>
      <c r="AZ16" s="80">
        <f t="shared" si="25"/>
        <v>1.1259999999999999</v>
      </c>
      <c r="BA16" s="80">
        <f t="shared" si="25"/>
        <v>1.2979000000000001</v>
      </c>
      <c r="BB16" s="80">
        <f t="shared" si="25"/>
        <v>1.4983</v>
      </c>
      <c r="BC16" s="80">
        <f t="shared" si="25"/>
        <v>1.6987000000000001</v>
      </c>
      <c r="BD16" s="82">
        <f t="shared" si="25"/>
        <v>1.8991</v>
      </c>
      <c r="BE16" s="57" t="s">
        <v>61</v>
      </c>
      <c r="BF16" s="83"/>
      <c r="BG16" s="59"/>
      <c r="BH16" s="59"/>
      <c r="BI16" s="59"/>
    </row>
    <row r="17" spans="1:61" s="58" customFormat="1" ht="14">
      <c r="A17" t="s">
        <v>115</v>
      </c>
      <c r="B17" s="60" t="s">
        <v>63</v>
      </c>
      <c r="C17" s="60" t="s">
        <v>69</v>
      </c>
      <c r="D17" s="60" t="s">
        <v>46</v>
      </c>
      <c r="E17" s="60">
        <v>2</v>
      </c>
      <c r="F17" s="62">
        <v>2</v>
      </c>
      <c r="G17" s="62">
        <v>2</v>
      </c>
      <c r="H17" s="63">
        <f>(125730-106730)*8</f>
        <v>152000</v>
      </c>
      <c r="I17" s="64">
        <f t="shared" si="11"/>
        <v>4506202.7871602206</v>
      </c>
      <c r="J17" s="65">
        <f t="shared" si="22"/>
        <v>5632753.483950275</v>
      </c>
      <c r="K17" s="66">
        <f t="shared" si="12"/>
        <v>6759304.1807403294</v>
      </c>
      <c r="L17" s="67">
        <f t="shared" si="23"/>
        <v>336000</v>
      </c>
      <c r="M17" s="64">
        <f t="shared" si="24"/>
        <v>235420</v>
      </c>
      <c r="N17" s="60">
        <f t="shared" si="18"/>
        <v>294270</v>
      </c>
      <c r="O17" s="66">
        <f>ROUNDUP(N17*1.2,-1)</f>
        <v>353130</v>
      </c>
      <c r="P17" s="64">
        <f t="shared" si="1"/>
        <v>4237560</v>
      </c>
      <c r="Q17" s="60">
        <f t="shared" si="1"/>
        <v>5296860</v>
      </c>
      <c r="R17" s="66">
        <f t="shared" si="1"/>
        <v>6356340</v>
      </c>
      <c r="S17" s="68">
        <v>0.1</v>
      </c>
      <c r="T17" s="60">
        <f t="shared" si="14"/>
        <v>283200</v>
      </c>
      <c r="U17" s="66">
        <f t="shared" si="15"/>
        <v>424800</v>
      </c>
      <c r="V17" s="68">
        <v>0.04</v>
      </c>
      <c r="W17" s="60">
        <f t="shared" si="16"/>
        <v>114000</v>
      </c>
      <c r="X17" s="66">
        <f t="shared" si="2"/>
        <v>170400</v>
      </c>
      <c r="Y17" s="69">
        <v>0.11</v>
      </c>
      <c r="Z17" s="70">
        <f t="shared" si="20"/>
        <v>7.6999999999999999E-2</v>
      </c>
      <c r="AA17" s="70">
        <f t="shared" si="17"/>
        <v>0.25299999999999995</v>
      </c>
      <c r="AB17" s="70">
        <v>0.67</v>
      </c>
      <c r="AC17" s="71">
        <f t="shared" si="3"/>
        <v>0.23099999999999998</v>
      </c>
      <c r="AD17" s="72">
        <f t="shared" si="4"/>
        <v>0.65400000000000003</v>
      </c>
      <c r="AE17" s="73">
        <f t="shared" si="5"/>
        <v>0.76900000000000002</v>
      </c>
      <c r="AF17" s="73">
        <f t="shared" si="6"/>
        <v>0.88500000000000001</v>
      </c>
      <c r="AG17" s="73">
        <v>1</v>
      </c>
      <c r="AH17" s="73">
        <f t="shared" si="7"/>
        <v>1.1160000000000001</v>
      </c>
      <c r="AI17" s="74">
        <f t="shared" si="8"/>
        <v>1.2310000000000001</v>
      </c>
      <c r="AJ17" s="75">
        <v>6</v>
      </c>
      <c r="AK17" s="76">
        <f t="shared" si="9"/>
        <v>3.9240000000000004</v>
      </c>
      <c r="AL17" s="77">
        <f t="shared" si="9"/>
        <v>4.6139999999999999</v>
      </c>
      <c r="AM17" s="77">
        <f t="shared" si="9"/>
        <v>5.3100000000000005</v>
      </c>
      <c r="AN17" s="77">
        <f t="shared" si="9"/>
        <v>6</v>
      </c>
      <c r="AO17" s="77">
        <f t="shared" si="9"/>
        <v>6.6960000000000006</v>
      </c>
      <c r="AP17" s="78">
        <f t="shared" si="9"/>
        <v>7.386000000000001</v>
      </c>
      <c r="AQ17" s="79">
        <f t="shared" si="25"/>
        <v>-6.4000000000000001E-2</v>
      </c>
      <c r="AR17" s="80">
        <f t="shared" si="25"/>
        <v>-4.5999999999999999E-2</v>
      </c>
      <c r="AS17" s="80">
        <f t="shared" si="25"/>
        <v>0</v>
      </c>
      <c r="AT17" s="80">
        <f t="shared" si="25"/>
        <v>8.6900000000000005E-2</v>
      </c>
      <c r="AU17" s="80">
        <f t="shared" si="25"/>
        <v>0.1699</v>
      </c>
      <c r="AV17" s="81">
        <f t="shared" si="25"/>
        <v>0.2407</v>
      </c>
      <c r="AW17" s="80">
        <f t="shared" si="25"/>
        <v>0.28320000000000001</v>
      </c>
      <c r="AX17" s="80">
        <f t="shared" si="25"/>
        <v>0.42559999999999998</v>
      </c>
      <c r="AY17" s="80">
        <f t="shared" si="25"/>
        <v>0.66539999999999999</v>
      </c>
      <c r="AZ17" s="80">
        <f t="shared" si="25"/>
        <v>0.79779999999999995</v>
      </c>
      <c r="BA17" s="80">
        <f t="shared" si="25"/>
        <v>0.93020000000000003</v>
      </c>
      <c r="BB17" s="80">
        <f t="shared" si="25"/>
        <v>1.0845</v>
      </c>
      <c r="BC17" s="80">
        <f t="shared" si="25"/>
        <v>1.2386999999999999</v>
      </c>
      <c r="BD17" s="82">
        <f t="shared" si="25"/>
        <v>1.393</v>
      </c>
      <c r="BE17" s="57" t="s">
        <v>63</v>
      </c>
      <c r="BF17" s="83"/>
      <c r="BG17" s="59"/>
      <c r="BH17" s="59"/>
      <c r="BI17" s="59"/>
    </row>
    <row r="18" spans="1:61" s="58" customFormat="1" ht="14">
      <c r="A18" t="s">
        <v>115</v>
      </c>
      <c r="B18" s="60" t="s">
        <v>65</v>
      </c>
      <c r="C18" s="60" t="s">
        <v>69</v>
      </c>
      <c r="D18" s="60" t="s">
        <v>47</v>
      </c>
      <c r="E18" s="60">
        <v>3</v>
      </c>
      <c r="F18" s="62">
        <v>2</v>
      </c>
      <c r="G18" s="62">
        <v>2</v>
      </c>
      <c r="H18" s="63">
        <f>(125730-106730)*8</f>
        <v>152000</v>
      </c>
      <c r="I18" s="64">
        <f t="shared" si="11"/>
        <v>5822419.7473338638</v>
      </c>
      <c r="J18" s="65">
        <f t="shared" si="22"/>
        <v>7278024.6841673292</v>
      </c>
      <c r="K18" s="66">
        <v>9470600</v>
      </c>
      <c r="L18" s="67">
        <f t="shared" si="23"/>
        <v>336000</v>
      </c>
      <c r="M18" s="64">
        <f t="shared" si="24"/>
        <v>308540</v>
      </c>
      <c r="N18" s="60">
        <f t="shared" si="18"/>
        <v>385670</v>
      </c>
      <c r="O18" s="66">
        <v>507480</v>
      </c>
      <c r="P18" s="64">
        <f t="shared" si="1"/>
        <v>5553720</v>
      </c>
      <c r="Q18" s="60">
        <f t="shared" si="1"/>
        <v>6942060</v>
      </c>
      <c r="R18" s="66">
        <f t="shared" si="1"/>
        <v>9134640</v>
      </c>
      <c r="S18" s="68">
        <v>0.1</v>
      </c>
      <c r="T18" s="60">
        <f t="shared" si="14"/>
        <v>370800</v>
      </c>
      <c r="U18" s="66">
        <f t="shared" si="15"/>
        <v>609600</v>
      </c>
      <c r="V18" s="68">
        <v>0.04</v>
      </c>
      <c r="W18" s="60">
        <f t="shared" si="16"/>
        <v>148800</v>
      </c>
      <c r="X18" s="66">
        <f t="shared" si="2"/>
        <v>243600</v>
      </c>
      <c r="Y18" s="69">
        <v>0.12</v>
      </c>
      <c r="Z18" s="70">
        <f t="shared" si="20"/>
        <v>8.3999999999999991E-2</v>
      </c>
      <c r="AA18" s="70">
        <f t="shared" si="17"/>
        <v>0.24599999999999997</v>
      </c>
      <c r="AB18" s="70">
        <v>0.67</v>
      </c>
      <c r="AC18" s="71">
        <f t="shared" si="3"/>
        <v>0.25199999999999995</v>
      </c>
      <c r="AD18" s="72">
        <f t="shared" si="4"/>
        <v>0.622</v>
      </c>
      <c r="AE18" s="73">
        <f t="shared" si="5"/>
        <v>0.748</v>
      </c>
      <c r="AF18" s="73">
        <f t="shared" si="6"/>
        <v>0.874</v>
      </c>
      <c r="AG18" s="73">
        <v>1</v>
      </c>
      <c r="AH18" s="73">
        <f t="shared" si="7"/>
        <v>1.1259999999999999</v>
      </c>
      <c r="AI18" s="74">
        <f t="shared" si="8"/>
        <v>1.252</v>
      </c>
      <c r="AJ18" s="75">
        <v>6</v>
      </c>
      <c r="AK18" s="76">
        <f t="shared" si="9"/>
        <v>3.7320000000000002</v>
      </c>
      <c r="AL18" s="77">
        <f t="shared" si="9"/>
        <v>4.4879999999999995</v>
      </c>
      <c r="AM18" s="77">
        <f t="shared" si="9"/>
        <v>5.2439999999999998</v>
      </c>
      <c r="AN18" s="77">
        <f t="shared" si="9"/>
        <v>6</v>
      </c>
      <c r="AO18" s="77">
        <f t="shared" si="9"/>
        <v>6.7559999999999993</v>
      </c>
      <c r="AP18" s="78">
        <f t="shared" si="9"/>
        <v>7.5120000000000005</v>
      </c>
      <c r="AQ18" s="79">
        <f t="shared" si="25"/>
        <v>-9.4600000000000004E-2</v>
      </c>
      <c r="AR18" s="80">
        <f t="shared" si="25"/>
        <v>-8.0600000000000005E-2</v>
      </c>
      <c r="AS18" s="80">
        <f t="shared" si="25"/>
        <v>-4.4900000000000002E-2</v>
      </c>
      <c r="AT18" s="80">
        <f t="shared" si="25"/>
        <v>0</v>
      </c>
      <c r="AU18" s="80">
        <f t="shared" si="25"/>
        <v>6.4299999999999996E-2</v>
      </c>
      <c r="AV18" s="81">
        <f t="shared" si="25"/>
        <v>0.1192</v>
      </c>
      <c r="AW18" s="80">
        <f t="shared" si="25"/>
        <v>0.15210000000000001</v>
      </c>
      <c r="AX18" s="80">
        <f t="shared" si="25"/>
        <v>0.26250000000000001</v>
      </c>
      <c r="AY18" s="80">
        <f t="shared" si="25"/>
        <v>0.44850000000000001</v>
      </c>
      <c r="AZ18" s="80">
        <f t="shared" si="25"/>
        <v>0.55110000000000003</v>
      </c>
      <c r="BA18" s="80">
        <f t="shared" si="25"/>
        <v>0.65380000000000005</v>
      </c>
      <c r="BB18" s="80">
        <f t="shared" si="25"/>
        <v>0.77339999999999998</v>
      </c>
      <c r="BC18" s="80">
        <f t="shared" si="25"/>
        <v>0.89300000000000002</v>
      </c>
      <c r="BD18" s="82">
        <f t="shared" si="25"/>
        <v>1.0125999999999999</v>
      </c>
      <c r="BE18" s="57" t="s">
        <v>65</v>
      </c>
      <c r="BF18" s="83"/>
      <c r="BG18" s="59"/>
      <c r="BH18" s="59"/>
      <c r="BI18" s="59"/>
    </row>
    <row r="19" spans="1:61" s="58" customFormat="1" ht="14">
      <c r="A19" t="s">
        <v>115</v>
      </c>
      <c r="B19" s="60" t="s">
        <v>68</v>
      </c>
      <c r="C19" s="60" t="s">
        <v>69</v>
      </c>
      <c r="D19" s="60" t="s">
        <v>67</v>
      </c>
      <c r="E19" s="60">
        <v>4</v>
      </c>
      <c r="F19" s="62">
        <v>2</v>
      </c>
      <c r="G19" s="62">
        <v>2</v>
      </c>
      <c r="H19" s="63">
        <f>(125730-106730)*8</f>
        <v>152000</v>
      </c>
      <c r="I19" s="64">
        <f t="shared" si="11"/>
        <v>7077475.0658682436</v>
      </c>
      <c r="J19" s="65">
        <f>J14-H19</f>
        <v>8846843.8323353045</v>
      </c>
      <c r="K19" s="66">
        <f t="shared" si="12"/>
        <v>10616212.598802365</v>
      </c>
      <c r="L19" s="67">
        <f t="shared" si="23"/>
        <v>336000</v>
      </c>
      <c r="M19" s="64">
        <f>ROUNDUP(N19*0.8,-1)</f>
        <v>378270</v>
      </c>
      <c r="N19" s="60">
        <f t="shared" si="18"/>
        <v>472830</v>
      </c>
      <c r="O19" s="66">
        <f t="shared" ref="O19" si="26">ROUNDUP(N19*1.2,-1)</f>
        <v>567400</v>
      </c>
      <c r="P19" s="64">
        <f t="shared" si="1"/>
        <v>6808860</v>
      </c>
      <c r="Q19" s="60">
        <f t="shared" si="1"/>
        <v>8510940</v>
      </c>
      <c r="R19" s="66">
        <f t="shared" si="1"/>
        <v>10213200</v>
      </c>
      <c r="S19" s="68">
        <v>0.1</v>
      </c>
      <c r="T19" s="60">
        <f t="shared" si="14"/>
        <v>454800</v>
      </c>
      <c r="U19" s="66">
        <f t="shared" si="15"/>
        <v>681600</v>
      </c>
      <c r="V19" s="68">
        <v>0.04</v>
      </c>
      <c r="W19" s="60">
        <f t="shared" si="16"/>
        <v>182400</v>
      </c>
      <c r="X19" s="66">
        <f t="shared" si="2"/>
        <v>272400</v>
      </c>
      <c r="Y19" s="69">
        <v>0.125</v>
      </c>
      <c r="Z19" s="70">
        <f>(Y19*$Y$8)</f>
        <v>8.7499999999999994E-2</v>
      </c>
      <c r="AA19" s="70">
        <f t="shared" si="17"/>
        <v>0.24249999999999997</v>
      </c>
      <c r="AB19" s="70">
        <v>0.67</v>
      </c>
      <c r="AC19" s="71">
        <f t="shared" si="3"/>
        <v>0.26250000000000001</v>
      </c>
      <c r="AD19" s="72">
        <f t="shared" si="4"/>
        <v>0.60699999999999998</v>
      </c>
      <c r="AE19" s="73">
        <f t="shared" si="5"/>
        <v>0.73799999999999999</v>
      </c>
      <c r="AF19" s="73">
        <f t="shared" si="6"/>
        <v>0.86899999999999999</v>
      </c>
      <c r="AG19" s="73">
        <v>1</v>
      </c>
      <c r="AH19" s="73">
        <f t="shared" si="7"/>
        <v>1.131</v>
      </c>
      <c r="AI19" s="74">
        <f t="shared" si="8"/>
        <v>1.2629999999999999</v>
      </c>
      <c r="AJ19" s="75">
        <v>6</v>
      </c>
      <c r="AK19" s="76">
        <f t="shared" si="9"/>
        <v>3.6419999999999999</v>
      </c>
      <c r="AL19" s="77">
        <f t="shared" si="9"/>
        <v>4.4279999999999999</v>
      </c>
      <c r="AM19" s="77">
        <f t="shared" si="9"/>
        <v>5.2140000000000004</v>
      </c>
      <c r="AN19" s="77">
        <f t="shared" si="9"/>
        <v>6</v>
      </c>
      <c r="AO19" s="77">
        <f t="shared" si="9"/>
        <v>6.7859999999999996</v>
      </c>
      <c r="AP19" s="78">
        <f t="shared" si="9"/>
        <v>7.5779999999999994</v>
      </c>
      <c r="AQ19" s="79">
        <f t="shared" si="25"/>
        <v>-0.1132</v>
      </c>
      <c r="AR19" s="80">
        <f t="shared" si="25"/>
        <v>-0.1017</v>
      </c>
      <c r="AS19" s="80">
        <f t="shared" si="25"/>
        <v>-7.2300000000000003E-2</v>
      </c>
      <c r="AT19" s="80">
        <f t="shared" si="25"/>
        <v>-3.5299999999999998E-2</v>
      </c>
      <c r="AU19" s="80">
        <f t="shared" si="25"/>
        <v>0</v>
      </c>
      <c r="AV19" s="81">
        <f t="shared" si="25"/>
        <v>4.5199999999999997E-2</v>
      </c>
      <c r="AW19" s="80">
        <f t="shared" si="25"/>
        <v>7.2400000000000006E-2</v>
      </c>
      <c r="AX19" s="80">
        <f t="shared" si="25"/>
        <v>0.1633</v>
      </c>
      <c r="AY19" s="80">
        <f t="shared" si="25"/>
        <v>0.31640000000000001</v>
      </c>
      <c r="AZ19" s="80">
        <f t="shared" si="25"/>
        <v>0.40089999999999998</v>
      </c>
      <c r="BA19" s="80">
        <f t="shared" si="25"/>
        <v>0.48549999999999999</v>
      </c>
      <c r="BB19" s="80">
        <f t="shared" si="25"/>
        <v>0.58399999999999996</v>
      </c>
      <c r="BC19" s="80">
        <f t="shared" si="25"/>
        <v>0.6825</v>
      </c>
      <c r="BD19" s="82">
        <f t="shared" si="25"/>
        <v>0.78100000000000003</v>
      </c>
      <c r="BE19" s="57" t="s">
        <v>68</v>
      </c>
      <c r="BF19" s="83"/>
      <c r="BG19" s="59"/>
      <c r="BH19" s="59"/>
      <c r="BI19" s="59"/>
    </row>
    <row r="20" spans="1:61" s="58" customFormat="1" ht="13.5">
      <c r="B20" s="84" t="s">
        <v>70</v>
      </c>
      <c r="C20" s="84" t="s">
        <v>49</v>
      </c>
      <c r="D20" s="85">
        <v>12.1</v>
      </c>
      <c r="E20" s="84">
        <v>6</v>
      </c>
      <c r="F20" s="86">
        <v>1</v>
      </c>
      <c r="G20" s="86">
        <v>1</v>
      </c>
      <c r="H20" s="87"/>
      <c r="I20" s="88">
        <f>I21</f>
        <v>8828206.8729544953</v>
      </c>
      <c r="J20" s="89">
        <v>10230481</v>
      </c>
      <c r="K20" s="90">
        <f>K21</f>
        <v>13242310.309431743</v>
      </c>
      <c r="L20" s="91"/>
      <c r="M20" s="88">
        <f>M21</f>
        <v>490460</v>
      </c>
      <c r="N20" s="84">
        <f>ROUNDUP((J20-L20)/18,-1)</f>
        <v>568370</v>
      </c>
      <c r="O20" s="90">
        <f>O21</f>
        <v>735690</v>
      </c>
      <c r="P20" s="88">
        <f t="shared" si="1"/>
        <v>8828280</v>
      </c>
      <c r="Q20" s="84">
        <f t="shared" si="1"/>
        <v>10230660</v>
      </c>
      <c r="R20" s="87">
        <f t="shared" si="1"/>
        <v>13242420</v>
      </c>
      <c r="S20" s="92">
        <v>0.14000000000000001</v>
      </c>
      <c r="T20" s="84">
        <f t="shared" si="14"/>
        <v>824400</v>
      </c>
      <c r="U20" s="87">
        <f t="shared" si="15"/>
        <v>1236000</v>
      </c>
      <c r="V20" s="92">
        <v>0.04</v>
      </c>
      <c r="W20" s="84">
        <f t="shared" si="16"/>
        <v>236400</v>
      </c>
      <c r="X20" s="90">
        <f t="shared" si="2"/>
        <v>354000</v>
      </c>
      <c r="Y20" s="93">
        <v>0.16</v>
      </c>
      <c r="Z20" s="94">
        <v>0.16</v>
      </c>
      <c r="AA20" s="94">
        <f t="shared" si="17"/>
        <v>0.16999999999999996</v>
      </c>
      <c r="AB20" s="94">
        <v>0.67</v>
      </c>
      <c r="AC20" s="95">
        <f t="shared" si="3"/>
        <v>0.48</v>
      </c>
      <c r="AD20" s="96">
        <f t="shared" si="4"/>
        <v>0.28000000000000003</v>
      </c>
      <c r="AE20" s="97">
        <f t="shared" si="5"/>
        <v>0.52</v>
      </c>
      <c r="AF20" s="97">
        <f t="shared" si="6"/>
        <v>0.76</v>
      </c>
      <c r="AG20" s="97">
        <v>1</v>
      </c>
      <c r="AH20" s="97">
        <f t="shared" si="7"/>
        <v>1.24</v>
      </c>
      <c r="AI20" s="98">
        <f t="shared" si="8"/>
        <v>1.48</v>
      </c>
      <c r="AJ20" s="99">
        <f t="shared" si="19"/>
        <v>6</v>
      </c>
      <c r="AK20" s="76">
        <f t="shared" si="9"/>
        <v>1.6800000000000002</v>
      </c>
      <c r="AL20" s="100">
        <f t="shared" si="9"/>
        <v>3.12</v>
      </c>
      <c r="AM20" s="100">
        <f t="shared" si="9"/>
        <v>4.5600000000000005</v>
      </c>
      <c r="AN20" s="100">
        <f t="shared" si="9"/>
        <v>6</v>
      </c>
      <c r="AO20" s="100">
        <f t="shared" si="9"/>
        <v>7.4399999999999995</v>
      </c>
      <c r="AP20" s="101">
        <f t="shared" si="9"/>
        <v>8.879999999999999</v>
      </c>
      <c r="AQ20" s="102">
        <f t="shared" ref="AQ20:BD28" si="27">IF(AP$5&gt;$Q20,ROUND((AP$5-$Q20)/$Q20*$AP$4,4),ROUND((AP$5-$Q20)/$Q20*$AQ$4,4))</f>
        <v>-0.1245</v>
      </c>
      <c r="AR20" s="81">
        <f t="shared" si="27"/>
        <v>-0.11459999999999999</v>
      </c>
      <c r="AS20" s="81">
        <f t="shared" si="27"/>
        <v>-8.8999999999999996E-2</v>
      </c>
      <c r="AT20" s="81">
        <f t="shared" si="27"/>
        <v>-5.6899999999999999E-2</v>
      </c>
      <c r="AU20" s="81">
        <f t="shared" si="27"/>
        <v>-2.6200000000000001E-2</v>
      </c>
      <c r="AV20" s="81">
        <f t="shared" si="27"/>
        <v>0</v>
      </c>
      <c r="AW20" s="81">
        <f t="shared" si="27"/>
        <v>2.3599999999999999E-2</v>
      </c>
      <c r="AX20" s="81">
        <f t="shared" si="27"/>
        <v>0.1026</v>
      </c>
      <c r="AY20" s="81">
        <f t="shared" si="27"/>
        <v>0.23569999999999999</v>
      </c>
      <c r="AZ20" s="81">
        <f t="shared" si="27"/>
        <v>0.30919999999999997</v>
      </c>
      <c r="BA20" s="81">
        <f t="shared" si="27"/>
        <v>0.3826</v>
      </c>
      <c r="BB20" s="81">
        <f t="shared" si="27"/>
        <v>0.46820000000000001</v>
      </c>
      <c r="BC20" s="81">
        <f t="shared" si="27"/>
        <v>0.55379999999999996</v>
      </c>
      <c r="BD20" s="103">
        <f t="shared" si="27"/>
        <v>0.63939999999999997</v>
      </c>
      <c r="BE20" s="104" t="s">
        <v>50</v>
      </c>
      <c r="BG20" s="59"/>
      <c r="BH20" s="59"/>
      <c r="BI20" s="59"/>
    </row>
    <row r="21" spans="1:61" s="58" customFormat="1" ht="13.5">
      <c r="B21" s="60" t="s">
        <v>70</v>
      </c>
      <c r="C21" s="60" t="s">
        <v>71</v>
      </c>
      <c r="D21" s="61">
        <v>12</v>
      </c>
      <c r="E21" s="60">
        <v>6</v>
      </c>
      <c r="F21" s="62">
        <v>1</v>
      </c>
      <c r="G21" s="62">
        <v>1</v>
      </c>
      <c r="H21" s="63"/>
      <c r="I21" s="64">
        <f t="shared" si="11"/>
        <v>8828206.8729544953</v>
      </c>
      <c r="J21" s="65">
        <v>11035258.591193119</v>
      </c>
      <c r="K21" s="66">
        <f t="shared" si="12"/>
        <v>13242310.309431743</v>
      </c>
      <c r="L21" s="67"/>
      <c r="M21" s="64">
        <f>ROUNDUP(N21*0.8,-1)</f>
        <v>490460</v>
      </c>
      <c r="N21" s="60">
        <f t="shared" si="18"/>
        <v>613070</v>
      </c>
      <c r="O21" s="66">
        <f t="shared" ref="O21:O28" si="28">ROUNDUP(N21*1.2,-1)</f>
        <v>735690</v>
      </c>
      <c r="P21" s="64">
        <f t="shared" si="1"/>
        <v>8828280</v>
      </c>
      <c r="Q21" s="60">
        <f t="shared" si="1"/>
        <v>11035260</v>
      </c>
      <c r="R21" s="63">
        <f t="shared" si="1"/>
        <v>13242420</v>
      </c>
      <c r="S21" s="68">
        <v>0.14000000000000001</v>
      </c>
      <c r="T21" s="60">
        <f t="shared" si="14"/>
        <v>824400</v>
      </c>
      <c r="U21" s="63">
        <f t="shared" si="15"/>
        <v>1236000</v>
      </c>
      <c r="V21" s="68">
        <v>0.04</v>
      </c>
      <c r="W21" s="60">
        <f t="shared" si="16"/>
        <v>236400</v>
      </c>
      <c r="X21" s="66">
        <f t="shared" si="2"/>
        <v>354000</v>
      </c>
      <c r="Y21" s="69">
        <v>0.16</v>
      </c>
      <c r="Z21" s="105">
        <v>0.16</v>
      </c>
      <c r="AA21" s="105">
        <f t="shared" si="17"/>
        <v>0.16999999999999996</v>
      </c>
      <c r="AB21" s="105">
        <v>0.67</v>
      </c>
      <c r="AC21" s="71">
        <f t="shared" si="3"/>
        <v>0.48</v>
      </c>
      <c r="AD21" s="72">
        <f t="shared" si="4"/>
        <v>0.28000000000000003</v>
      </c>
      <c r="AE21" s="73">
        <f t="shared" si="5"/>
        <v>0.52</v>
      </c>
      <c r="AF21" s="73">
        <f t="shared" si="6"/>
        <v>0.76</v>
      </c>
      <c r="AG21" s="73">
        <v>1</v>
      </c>
      <c r="AH21" s="73">
        <f t="shared" si="7"/>
        <v>1.24</v>
      </c>
      <c r="AI21" s="74">
        <f t="shared" si="8"/>
        <v>1.48</v>
      </c>
      <c r="AJ21" s="75">
        <f t="shared" si="19"/>
        <v>6</v>
      </c>
      <c r="AK21" s="76">
        <f t="shared" si="9"/>
        <v>1.6800000000000002</v>
      </c>
      <c r="AL21" s="77">
        <f t="shared" si="9"/>
        <v>3.12</v>
      </c>
      <c r="AM21" s="77">
        <f t="shared" si="9"/>
        <v>4.5600000000000005</v>
      </c>
      <c r="AN21" s="77">
        <f t="shared" si="9"/>
        <v>6</v>
      </c>
      <c r="AO21" s="77">
        <f t="shared" si="9"/>
        <v>7.4399999999999995</v>
      </c>
      <c r="AP21" s="78">
        <f t="shared" si="9"/>
        <v>8.879999999999999</v>
      </c>
      <c r="AQ21" s="79">
        <f t="shared" si="27"/>
        <v>-0.13</v>
      </c>
      <c r="AR21" s="80">
        <f t="shared" si="27"/>
        <v>-0.1208</v>
      </c>
      <c r="AS21" s="80">
        <f>IF(AR$5&gt;$Q21,ROUND((AR$5-$Q21)/$Q21*$AP$4,4),ROUND((AR$5-$Q21)/$Q21*$AQ$4,4))</f>
        <v>-9.7100000000000006E-2</v>
      </c>
      <c r="AT21" s="80">
        <f t="shared" si="27"/>
        <v>-6.7299999999999999E-2</v>
      </c>
      <c r="AU21" s="80">
        <f t="shared" si="27"/>
        <v>-3.8899999999999997E-2</v>
      </c>
      <c r="AV21" s="81">
        <f t="shared" si="27"/>
        <v>-1.46E-2</v>
      </c>
      <c r="AW21" s="80">
        <f t="shared" si="27"/>
        <v>0</v>
      </c>
      <c r="AX21" s="80">
        <f t="shared" si="27"/>
        <v>7.3200000000000001E-2</v>
      </c>
      <c r="AY21" s="80">
        <f t="shared" si="27"/>
        <v>0.1966</v>
      </c>
      <c r="AZ21" s="80">
        <f t="shared" si="27"/>
        <v>0.26469999999999999</v>
      </c>
      <c r="BA21" s="80">
        <f t="shared" si="27"/>
        <v>0.33279999999999998</v>
      </c>
      <c r="BB21" s="80">
        <f t="shared" si="27"/>
        <v>0.41220000000000001</v>
      </c>
      <c r="BC21" s="80">
        <f t="shared" si="27"/>
        <v>0.49159999999999998</v>
      </c>
      <c r="BD21" s="82">
        <f t="shared" si="27"/>
        <v>0.57089999999999996</v>
      </c>
      <c r="BE21" s="57" t="s">
        <v>50</v>
      </c>
      <c r="BG21" s="59"/>
      <c r="BH21" s="59"/>
      <c r="BI21" s="59"/>
    </row>
    <row r="22" spans="1:61" s="58" customFormat="1" ht="13.5">
      <c r="B22" s="60" t="s">
        <v>72</v>
      </c>
      <c r="C22" s="60" t="s">
        <v>51</v>
      </c>
      <c r="D22" s="61">
        <v>13</v>
      </c>
      <c r="E22" s="60">
        <v>7</v>
      </c>
      <c r="F22" s="62">
        <v>1</v>
      </c>
      <c r="G22" s="62">
        <v>1</v>
      </c>
      <c r="H22" s="63"/>
      <c r="I22" s="64">
        <f t="shared" si="11"/>
        <v>10983723.173853045</v>
      </c>
      <c r="J22" s="60">
        <v>13729653.967316305</v>
      </c>
      <c r="K22" s="66">
        <f t="shared" si="12"/>
        <v>16475584.760779565</v>
      </c>
      <c r="L22" s="67"/>
      <c r="M22" s="64">
        <f t="shared" ref="M22:M26" si="29">ROUNDUP(N22*0.8,-1)</f>
        <v>610210</v>
      </c>
      <c r="N22" s="60">
        <f t="shared" si="18"/>
        <v>762760</v>
      </c>
      <c r="O22" s="66">
        <f t="shared" si="28"/>
        <v>915320</v>
      </c>
      <c r="P22" s="64">
        <f t="shared" si="1"/>
        <v>10983780</v>
      </c>
      <c r="Q22" s="60">
        <f t="shared" si="1"/>
        <v>13729680</v>
      </c>
      <c r="R22" s="63">
        <f t="shared" si="1"/>
        <v>16475760</v>
      </c>
      <c r="S22" s="68">
        <v>0.14000000000000001</v>
      </c>
      <c r="T22" s="60">
        <f t="shared" si="14"/>
        <v>1026000</v>
      </c>
      <c r="U22" s="63">
        <f t="shared" si="15"/>
        <v>1538400</v>
      </c>
      <c r="V22" s="68">
        <v>0.04</v>
      </c>
      <c r="W22" s="60">
        <f t="shared" si="16"/>
        <v>294000</v>
      </c>
      <c r="X22" s="66">
        <f t="shared" si="2"/>
        <v>440400</v>
      </c>
      <c r="Y22" s="69">
        <v>0.18</v>
      </c>
      <c r="Z22" s="105">
        <v>0.18</v>
      </c>
      <c r="AA22" s="105">
        <f t="shared" si="17"/>
        <v>0.14999999999999997</v>
      </c>
      <c r="AB22" s="105">
        <v>0.67</v>
      </c>
      <c r="AC22" s="71">
        <f t="shared" si="3"/>
        <v>0.53999999999999992</v>
      </c>
      <c r="AD22" s="72">
        <f t="shared" si="4"/>
        <v>0.19</v>
      </c>
      <c r="AE22" s="73">
        <f t="shared" si="5"/>
        <v>0.46</v>
      </c>
      <c r="AF22" s="73">
        <f t="shared" si="6"/>
        <v>0.73</v>
      </c>
      <c r="AG22" s="73">
        <v>1</v>
      </c>
      <c r="AH22" s="73">
        <f t="shared" si="7"/>
        <v>1.27</v>
      </c>
      <c r="AI22" s="74">
        <f t="shared" si="8"/>
        <v>1.54</v>
      </c>
      <c r="AJ22" s="75">
        <f t="shared" si="19"/>
        <v>6</v>
      </c>
      <c r="AK22" s="76">
        <f t="shared" si="9"/>
        <v>1.1400000000000001</v>
      </c>
      <c r="AL22" s="77">
        <f t="shared" si="9"/>
        <v>2.7600000000000002</v>
      </c>
      <c r="AM22" s="77">
        <f t="shared" si="9"/>
        <v>4.38</v>
      </c>
      <c r="AN22" s="77">
        <f t="shared" si="9"/>
        <v>6</v>
      </c>
      <c r="AO22" s="77">
        <f t="shared" si="9"/>
        <v>7.62</v>
      </c>
      <c r="AP22" s="78">
        <f t="shared" si="9"/>
        <v>9.24</v>
      </c>
      <c r="AQ22" s="79">
        <f t="shared" si="27"/>
        <v>-0.14380000000000001</v>
      </c>
      <c r="AR22" s="80">
        <f t="shared" si="27"/>
        <v>-0.1363</v>
      </c>
      <c r="AS22" s="80">
        <f t="shared" si="27"/>
        <v>-0.1173</v>
      </c>
      <c r="AT22" s="80">
        <f t="shared" si="27"/>
        <v>-9.3299999999999994E-2</v>
      </c>
      <c r="AU22" s="80">
        <f t="shared" si="27"/>
        <v>-7.0499999999999993E-2</v>
      </c>
      <c r="AV22" s="81">
        <f t="shared" si="27"/>
        <v>-5.0999999999999997E-2</v>
      </c>
      <c r="AW22" s="80">
        <f t="shared" si="27"/>
        <v>-3.9199999999999999E-2</v>
      </c>
      <c r="AX22" s="80">
        <f t="shared" si="27"/>
        <v>0</v>
      </c>
      <c r="AY22" s="80">
        <f t="shared" si="27"/>
        <v>9.9199999999999997E-2</v>
      </c>
      <c r="AZ22" s="80">
        <f t="shared" si="27"/>
        <v>0.15390000000000001</v>
      </c>
      <c r="BA22" s="80">
        <f t="shared" si="27"/>
        <v>0.20860000000000001</v>
      </c>
      <c r="BB22" s="80">
        <f t="shared" si="27"/>
        <v>0.27239999999999998</v>
      </c>
      <c r="BC22" s="80">
        <f t="shared" si="27"/>
        <v>0.3362</v>
      </c>
      <c r="BD22" s="82">
        <f t="shared" si="27"/>
        <v>0.4</v>
      </c>
      <c r="BE22" s="57" t="s">
        <v>51</v>
      </c>
      <c r="BG22" s="59"/>
      <c r="BH22" s="59"/>
      <c r="BI22" s="59"/>
    </row>
    <row r="23" spans="1:61" s="58" customFormat="1" ht="13.5">
      <c r="B23" s="60" t="s">
        <v>73</v>
      </c>
      <c r="C23" s="60" t="s">
        <v>52</v>
      </c>
      <c r="D23" s="61">
        <v>14</v>
      </c>
      <c r="E23" s="60">
        <v>8</v>
      </c>
      <c r="F23" s="62">
        <v>1</v>
      </c>
      <c r="G23" s="62">
        <v>1</v>
      </c>
      <c r="H23" s="63"/>
      <c r="I23" s="64">
        <f t="shared" si="11"/>
        <v>14614727.51260734</v>
      </c>
      <c r="J23" s="60">
        <v>18268409.390759174</v>
      </c>
      <c r="K23" s="66">
        <f t="shared" si="12"/>
        <v>21922091.268911008</v>
      </c>
      <c r="L23" s="67"/>
      <c r="M23" s="64">
        <f t="shared" si="29"/>
        <v>811940</v>
      </c>
      <c r="N23" s="60">
        <f>ROUNDUP((J23-L23)/18,-1)</f>
        <v>1014920</v>
      </c>
      <c r="O23" s="66">
        <f t="shared" si="28"/>
        <v>1217910</v>
      </c>
      <c r="P23" s="64">
        <f t="shared" si="1"/>
        <v>14614920</v>
      </c>
      <c r="Q23" s="60">
        <f t="shared" si="1"/>
        <v>18268560</v>
      </c>
      <c r="R23" s="63">
        <f t="shared" si="1"/>
        <v>21922380</v>
      </c>
      <c r="S23" s="68">
        <v>0.14000000000000001</v>
      </c>
      <c r="T23" s="60">
        <f t="shared" si="14"/>
        <v>1364400</v>
      </c>
      <c r="U23" s="63">
        <f t="shared" si="15"/>
        <v>2047200</v>
      </c>
      <c r="V23" s="68">
        <v>0.04</v>
      </c>
      <c r="W23" s="60">
        <f t="shared" si="16"/>
        <v>390000</v>
      </c>
      <c r="X23" s="66">
        <f t="shared" si="2"/>
        <v>585600</v>
      </c>
      <c r="Y23" s="69">
        <v>0.2</v>
      </c>
      <c r="Z23" s="105">
        <v>0.2</v>
      </c>
      <c r="AA23" s="105">
        <f t="shared" si="17"/>
        <v>0.12999999999999995</v>
      </c>
      <c r="AB23" s="105">
        <v>0.67</v>
      </c>
      <c r="AC23" s="71">
        <f t="shared" si="3"/>
        <v>0.6</v>
      </c>
      <c r="AD23" s="72">
        <f t="shared" si="4"/>
        <v>0.1</v>
      </c>
      <c r="AE23" s="73">
        <f t="shared" si="5"/>
        <v>0.4</v>
      </c>
      <c r="AF23" s="73">
        <f t="shared" si="6"/>
        <v>0.7</v>
      </c>
      <c r="AG23" s="73">
        <v>1</v>
      </c>
      <c r="AH23" s="73">
        <f t="shared" si="7"/>
        <v>1.3</v>
      </c>
      <c r="AI23" s="74">
        <f t="shared" si="8"/>
        <v>1.6</v>
      </c>
      <c r="AJ23" s="75">
        <f t="shared" si="19"/>
        <v>6</v>
      </c>
      <c r="AK23" s="76">
        <f t="shared" si="9"/>
        <v>0.60000000000000009</v>
      </c>
      <c r="AL23" s="77">
        <f t="shared" si="9"/>
        <v>2.4000000000000004</v>
      </c>
      <c r="AM23" s="77">
        <f t="shared" si="9"/>
        <v>4.1999999999999993</v>
      </c>
      <c r="AN23" s="77">
        <f t="shared" si="9"/>
        <v>6</v>
      </c>
      <c r="AO23" s="77">
        <f t="shared" si="9"/>
        <v>7.8000000000000007</v>
      </c>
      <c r="AP23" s="78">
        <f t="shared" si="9"/>
        <v>9.6000000000000014</v>
      </c>
      <c r="AQ23" s="79">
        <f t="shared" si="27"/>
        <v>-0.15770000000000001</v>
      </c>
      <c r="AR23" s="80">
        <f t="shared" si="27"/>
        <v>-0.1522</v>
      </c>
      <c r="AS23" s="80">
        <f t="shared" si="27"/>
        <v>-0.13789999999999999</v>
      </c>
      <c r="AT23" s="80">
        <f t="shared" si="27"/>
        <v>-0.1198</v>
      </c>
      <c r="AU23" s="80">
        <f t="shared" si="27"/>
        <v>-0.1027</v>
      </c>
      <c r="AV23" s="81">
        <f t="shared" si="27"/>
        <v>-8.7999999999999995E-2</v>
      </c>
      <c r="AW23" s="80">
        <f t="shared" si="27"/>
        <v>-7.9200000000000007E-2</v>
      </c>
      <c r="AX23" s="80">
        <f t="shared" si="27"/>
        <v>-4.9700000000000001E-2</v>
      </c>
      <c r="AY23" s="80">
        <f t="shared" si="27"/>
        <v>0</v>
      </c>
      <c r="AZ23" s="80">
        <f t="shared" si="27"/>
        <v>4.1099999999999998E-2</v>
      </c>
      <c r="BA23" s="80">
        <f t="shared" si="27"/>
        <v>8.2299999999999998E-2</v>
      </c>
      <c r="BB23" s="80">
        <f t="shared" si="27"/>
        <v>0.13020000000000001</v>
      </c>
      <c r="BC23" s="80">
        <f t="shared" si="27"/>
        <v>0.1782</v>
      </c>
      <c r="BD23" s="82">
        <f t="shared" si="27"/>
        <v>0.2261</v>
      </c>
      <c r="BE23" s="57" t="s">
        <v>52</v>
      </c>
      <c r="BG23" s="59"/>
      <c r="BH23" s="59"/>
      <c r="BI23" s="59"/>
    </row>
    <row r="24" spans="1:61" s="58" customFormat="1" ht="13.5">
      <c r="B24" s="60"/>
      <c r="C24" s="60" t="s">
        <v>53</v>
      </c>
      <c r="D24" s="61">
        <v>15</v>
      </c>
      <c r="E24" s="60"/>
      <c r="F24" s="62"/>
      <c r="G24" s="62"/>
      <c r="H24" s="63"/>
      <c r="I24" s="64">
        <f>(I23+I25)/2</f>
        <v>16618632.209446423</v>
      </c>
      <c r="J24" s="60">
        <f t="shared" ref="J24:K24" si="30">(J23+J25)/2</f>
        <v>20773290.261808027</v>
      </c>
      <c r="K24" s="66">
        <f t="shared" si="30"/>
        <v>24927948.31416963</v>
      </c>
      <c r="L24" s="67"/>
      <c r="M24" s="64">
        <f t="shared" si="29"/>
        <v>923270</v>
      </c>
      <c r="N24" s="60">
        <f>ROUNDUP((J24-L24)/18,-1)</f>
        <v>1154080</v>
      </c>
      <c r="O24" s="66">
        <f t="shared" si="28"/>
        <v>1384900</v>
      </c>
      <c r="P24" s="64">
        <f t="shared" si="1"/>
        <v>16618860</v>
      </c>
      <c r="Q24" s="60">
        <f t="shared" si="1"/>
        <v>20773440</v>
      </c>
      <c r="R24" s="63">
        <f t="shared" si="1"/>
        <v>24928200</v>
      </c>
      <c r="S24" s="68">
        <f t="shared" ref="S24:Z24" si="31">(S23+S25)/2</f>
        <v>0.14000000000000001</v>
      </c>
      <c r="T24" s="60">
        <f t="shared" si="31"/>
        <v>1551600</v>
      </c>
      <c r="U24" s="63">
        <f t="shared" si="31"/>
        <v>2327400</v>
      </c>
      <c r="V24" s="68">
        <f t="shared" si="31"/>
        <v>0.04</v>
      </c>
      <c r="W24" s="60">
        <f t="shared" si="31"/>
        <v>443400</v>
      </c>
      <c r="X24" s="66">
        <f t="shared" si="31"/>
        <v>665400</v>
      </c>
      <c r="Y24" s="69">
        <f t="shared" si="31"/>
        <v>0.21000000000000002</v>
      </c>
      <c r="Z24" s="105">
        <f t="shared" si="31"/>
        <v>0.21000000000000002</v>
      </c>
      <c r="AA24" s="105">
        <f t="shared" si="17"/>
        <v>0.11999999999999994</v>
      </c>
      <c r="AB24" s="105">
        <v>0.67</v>
      </c>
      <c r="AC24" s="71">
        <f t="shared" ref="AC24:AG24" si="32">(AC23+AC25)/2</f>
        <v>0.63</v>
      </c>
      <c r="AD24" s="72">
        <f t="shared" si="4"/>
        <v>5.5E-2</v>
      </c>
      <c r="AE24" s="73">
        <f t="shared" si="5"/>
        <v>0.37</v>
      </c>
      <c r="AF24" s="73">
        <f t="shared" si="6"/>
        <v>0.68500000000000005</v>
      </c>
      <c r="AG24" s="73">
        <f t="shared" si="32"/>
        <v>1</v>
      </c>
      <c r="AH24" s="73">
        <f t="shared" si="7"/>
        <v>1.3149999999999999</v>
      </c>
      <c r="AI24" s="74">
        <f t="shared" si="8"/>
        <v>1.63</v>
      </c>
      <c r="AJ24" s="75">
        <f t="shared" si="19"/>
        <v>6</v>
      </c>
      <c r="AK24" s="76">
        <f t="shared" si="9"/>
        <v>0.33</v>
      </c>
      <c r="AL24" s="77">
        <f t="shared" ref="AL24:AP24" si="33">(AL23+AL25)/2</f>
        <v>2.2200000000000002</v>
      </c>
      <c r="AM24" s="77">
        <f t="shared" si="33"/>
        <v>4.1099999999999994</v>
      </c>
      <c r="AN24" s="77">
        <f t="shared" si="33"/>
        <v>6</v>
      </c>
      <c r="AO24" s="77">
        <f t="shared" si="33"/>
        <v>7.8900000000000006</v>
      </c>
      <c r="AP24" s="78">
        <f t="shared" si="33"/>
        <v>9.7800000000000011</v>
      </c>
      <c r="AQ24" s="79">
        <f t="shared" si="27"/>
        <v>-0.1628</v>
      </c>
      <c r="AR24" s="80">
        <f t="shared" si="27"/>
        <v>-0.15790000000000001</v>
      </c>
      <c r="AS24" s="80">
        <f t="shared" si="27"/>
        <v>-0.14530000000000001</v>
      </c>
      <c r="AT24" s="80">
        <f t="shared" si="27"/>
        <v>-0.1295</v>
      </c>
      <c r="AU24" s="80">
        <f t="shared" si="27"/>
        <v>-0.1144</v>
      </c>
      <c r="AV24" s="81">
        <f t="shared" si="27"/>
        <v>-0.10150000000000001</v>
      </c>
      <c r="AW24" s="80">
        <f t="shared" si="27"/>
        <v>-9.3799999999999994E-2</v>
      </c>
      <c r="AX24" s="80">
        <f t="shared" si="27"/>
        <v>-6.7799999999999999E-2</v>
      </c>
      <c r="AY24" s="80">
        <f t="shared" si="27"/>
        <v>-2.41E-2</v>
      </c>
      <c r="AZ24" s="80">
        <f t="shared" si="27"/>
        <v>0</v>
      </c>
      <c r="BA24" s="80">
        <f t="shared" si="27"/>
        <v>3.6200000000000003E-2</v>
      </c>
      <c r="BB24" s="80">
        <f t="shared" si="27"/>
        <v>7.8299999999999995E-2</v>
      </c>
      <c r="BC24" s="80">
        <f t="shared" si="27"/>
        <v>0.1205</v>
      </c>
      <c r="BD24" s="82">
        <f t="shared" si="27"/>
        <v>0.16270000000000001</v>
      </c>
      <c r="BE24" s="57" t="s">
        <v>53</v>
      </c>
      <c r="BG24" s="59"/>
      <c r="BH24" s="59"/>
      <c r="BI24" s="59"/>
    </row>
    <row r="25" spans="1:61" s="58" customFormat="1" ht="13.5">
      <c r="B25" s="60" t="s">
        <v>74</v>
      </c>
      <c r="C25" s="60" t="s">
        <v>54</v>
      </c>
      <c r="D25" s="61">
        <v>16</v>
      </c>
      <c r="E25" s="60">
        <v>9</v>
      </c>
      <c r="F25" s="62">
        <v>1</v>
      </c>
      <c r="G25" s="62">
        <v>1</v>
      </c>
      <c r="H25" s="63"/>
      <c r="I25" s="64">
        <f t="shared" si="11"/>
        <v>18622536.906285506</v>
      </c>
      <c r="J25" s="60">
        <v>23278171.132856879</v>
      </c>
      <c r="K25" s="66">
        <f t="shared" si="12"/>
        <v>27933805.359428253</v>
      </c>
      <c r="L25" s="67"/>
      <c r="M25" s="64">
        <f t="shared" si="29"/>
        <v>1034600</v>
      </c>
      <c r="N25" s="60">
        <f t="shared" si="18"/>
        <v>1293240</v>
      </c>
      <c r="O25" s="66">
        <f t="shared" si="28"/>
        <v>1551890</v>
      </c>
      <c r="P25" s="64">
        <f t="shared" si="1"/>
        <v>18622800</v>
      </c>
      <c r="Q25" s="60">
        <f t="shared" si="1"/>
        <v>23278320</v>
      </c>
      <c r="R25" s="63">
        <f t="shared" si="1"/>
        <v>27934020</v>
      </c>
      <c r="S25" s="68">
        <v>0.14000000000000001</v>
      </c>
      <c r="T25" s="60">
        <f t="shared" si="14"/>
        <v>1738800</v>
      </c>
      <c r="U25" s="63">
        <f t="shared" si="15"/>
        <v>2607600</v>
      </c>
      <c r="V25" s="68">
        <v>0.04</v>
      </c>
      <c r="W25" s="60">
        <f t="shared" si="16"/>
        <v>496800</v>
      </c>
      <c r="X25" s="66">
        <f t="shared" si="2"/>
        <v>745200</v>
      </c>
      <c r="Y25" s="69">
        <v>0.22</v>
      </c>
      <c r="Z25" s="105">
        <v>0.22</v>
      </c>
      <c r="AA25" s="105">
        <f t="shared" si="17"/>
        <v>0.10999999999999996</v>
      </c>
      <c r="AB25" s="105">
        <v>0.67</v>
      </c>
      <c r="AC25" s="71">
        <f t="shared" si="3"/>
        <v>0.66</v>
      </c>
      <c r="AD25" s="72">
        <f t="shared" si="4"/>
        <v>0.01</v>
      </c>
      <c r="AE25" s="73">
        <f t="shared" si="5"/>
        <v>0.34</v>
      </c>
      <c r="AF25" s="73">
        <f t="shared" si="6"/>
        <v>0.67</v>
      </c>
      <c r="AG25" s="73">
        <v>1</v>
      </c>
      <c r="AH25" s="73">
        <f t="shared" si="7"/>
        <v>1.33</v>
      </c>
      <c r="AI25" s="74">
        <f t="shared" si="8"/>
        <v>1.66</v>
      </c>
      <c r="AJ25" s="75">
        <f t="shared" si="19"/>
        <v>6</v>
      </c>
      <c r="AK25" s="76">
        <f t="shared" si="9"/>
        <v>0.06</v>
      </c>
      <c r="AL25" s="77">
        <f>$AJ25*AE25</f>
        <v>2.04</v>
      </c>
      <c r="AM25" s="77">
        <f>$AJ25*AF25</f>
        <v>4.0200000000000005</v>
      </c>
      <c r="AN25" s="77">
        <f>$AJ25*AG25</f>
        <v>6</v>
      </c>
      <c r="AO25" s="77">
        <f>$AJ25*AH25</f>
        <v>7.98</v>
      </c>
      <c r="AP25" s="78">
        <f>$AJ25*AI25</f>
        <v>9.9599999999999991</v>
      </c>
      <c r="AQ25" s="79">
        <f t="shared" si="27"/>
        <v>-0.1668</v>
      </c>
      <c r="AR25" s="80">
        <f t="shared" si="27"/>
        <v>-0.16250000000000001</v>
      </c>
      <c r="AS25" s="80">
        <f t="shared" si="27"/>
        <v>-0.1512</v>
      </c>
      <c r="AT25" s="80">
        <f t="shared" si="27"/>
        <v>-0.1371</v>
      </c>
      <c r="AU25" s="80">
        <f t="shared" si="27"/>
        <v>-0.1236</v>
      </c>
      <c r="AV25" s="81">
        <f t="shared" si="27"/>
        <v>-0.11210000000000001</v>
      </c>
      <c r="AW25" s="80">
        <f t="shared" si="27"/>
        <v>-0.1052</v>
      </c>
      <c r="AX25" s="80">
        <f t="shared" si="27"/>
        <v>-8.2000000000000003E-2</v>
      </c>
      <c r="AY25" s="80">
        <f t="shared" si="27"/>
        <v>-4.2999999999999997E-2</v>
      </c>
      <c r="AZ25" s="80">
        <f t="shared" si="27"/>
        <v>-2.1499999999999998E-2</v>
      </c>
      <c r="BA25" s="80">
        <f t="shared" si="27"/>
        <v>0</v>
      </c>
      <c r="BB25" s="80">
        <f t="shared" si="27"/>
        <v>3.7600000000000001E-2</v>
      </c>
      <c r="BC25" s="80">
        <f t="shared" si="27"/>
        <v>7.5300000000000006E-2</v>
      </c>
      <c r="BD25" s="82">
        <f t="shared" si="27"/>
        <v>0.1129</v>
      </c>
      <c r="BE25" s="57" t="s">
        <v>54</v>
      </c>
      <c r="BG25" s="59"/>
      <c r="BH25" s="83"/>
      <c r="BI25" s="83"/>
    </row>
    <row r="26" spans="1:61" s="58" customFormat="1" ht="13.5">
      <c r="B26" s="60"/>
      <c r="C26" s="60" t="s">
        <v>55</v>
      </c>
      <c r="D26" s="61">
        <v>17</v>
      </c>
      <c r="E26" s="60"/>
      <c r="F26" s="62"/>
      <c r="G26" s="62"/>
      <c r="H26" s="63"/>
      <c r="I26" s="64">
        <f t="shared" ref="I26:K26" si="34">(I25+I27)/2</f>
        <v>20958158.783036232</v>
      </c>
      <c r="J26" s="60">
        <f t="shared" si="34"/>
        <v>26197698.478795283</v>
      </c>
      <c r="K26" s="66">
        <f t="shared" si="34"/>
        <v>31437238.174554341</v>
      </c>
      <c r="L26" s="67"/>
      <c r="M26" s="64">
        <f t="shared" si="29"/>
        <v>1164350</v>
      </c>
      <c r="N26" s="60">
        <f>ROUNDUP((J26-L26)/18,-1)</f>
        <v>1455430</v>
      </c>
      <c r="O26" s="66">
        <f t="shared" si="28"/>
        <v>1746520</v>
      </c>
      <c r="P26" s="64">
        <f t="shared" si="1"/>
        <v>20958300</v>
      </c>
      <c r="Q26" s="60">
        <f t="shared" si="1"/>
        <v>26197740</v>
      </c>
      <c r="R26" s="63">
        <f t="shared" si="1"/>
        <v>31437360</v>
      </c>
      <c r="S26" s="68">
        <f t="shared" ref="S26:Z26" si="35">(S25+S27)/2</f>
        <v>0.14000000000000001</v>
      </c>
      <c r="T26" s="60">
        <f t="shared" si="35"/>
        <v>1956600</v>
      </c>
      <c r="U26" s="63">
        <f t="shared" si="35"/>
        <v>2934600</v>
      </c>
      <c r="V26" s="68">
        <f t="shared" si="35"/>
        <v>0.04</v>
      </c>
      <c r="W26" s="60">
        <f t="shared" si="35"/>
        <v>559200</v>
      </c>
      <c r="X26" s="66">
        <f t="shared" si="35"/>
        <v>838800</v>
      </c>
      <c r="Y26" s="69">
        <f t="shared" si="35"/>
        <v>0.22999999999999998</v>
      </c>
      <c r="Z26" s="105">
        <f t="shared" si="35"/>
        <v>0.22999999999999998</v>
      </c>
      <c r="AA26" s="105">
        <f t="shared" si="17"/>
        <v>9.9999999999999978E-2</v>
      </c>
      <c r="AB26" s="105">
        <v>0.67</v>
      </c>
      <c r="AC26" s="71">
        <f t="shared" ref="AC26:AG26" si="36">(AC25+AC27)/2</f>
        <v>0.69000000000000006</v>
      </c>
      <c r="AD26" s="72">
        <f t="shared" si="4"/>
        <v>0</v>
      </c>
      <c r="AE26" s="73">
        <f t="shared" si="5"/>
        <v>0.31</v>
      </c>
      <c r="AF26" s="73">
        <f t="shared" si="6"/>
        <v>0.65500000000000003</v>
      </c>
      <c r="AG26" s="73">
        <f t="shared" si="36"/>
        <v>1</v>
      </c>
      <c r="AH26" s="73">
        <f t="shared" si="7"/>
        <v>1.345</v>
      </c>
      <c r="AI26" s="74">
        <f t="shared" si="8"/>
        <v>1.69</v>
      </c>
      <c r="AJ26" s="75">
        <f t="shared" si="19"/>
        <v>6</v>
      </c>
      <c r="AK26" s="76">
        <f t="shared" si="9"/>
        <v>0</v>
      </c>
      <c r="AL26" s="77">
        <f t="shared" ref="AL26:AP26" si="37">(AL25+AL27)/2</f>
        <v>1.86</v>
      </c>
      <c r="AM26" s="77">
        <f t="shared" si="37"/>
        <v>3.93</v>
      </c>
      <c r="AN26" s="77">
        <f t="shared" si="37"/>
        <v>6</v>
      </c>
      <c r="AO26" s="77">
        <f t="shared" si="37"/>
        <v>8.07</v>
      </c>
      <c r="AP26" s="78">
        <f t="shared" si="37"/>
        <v>10.14</v>
      </c>
      <c r="AQ26" s="79">
        <f t="shared" si="27"/>
        <v>-0.17050000000000001</v>
      </c>
      <c r="AR26" s="80">
        <f t="shared" si="27"/>
        <v>-0.1666</v>
      </c>
      <c r="AS26" s="80">
        <f t="shared" si="27"/>
        <v>-0.15670000000000001</v>
      </c>
      <c r="AT26" s="80">
        <f t="shared" si="27"/>
        <v>-0.14410000000000001</v>
      </c>
      <c r="AU26" s="80">
        <f t="shared" si="27"/>
        <v>-0.1321</v>
      </c>
      <c r="AV26" s="81">
        <f t="shared" si="27"/>
        <v>-0.12189999999999999</v>
      </c>
      <c r="AW26" s="80">
        <f t="shared" si="27"/>
        <v>-0.1158</v>
      </c>
      <c r="AX26" s="80">
        <f t="shared" si="27"/>
        <v>-9.5200000000000007E-2</v>
      </c>
      <c r="AY26" s="80">
        <f t="shared" si="27"/>
        <v>-6.0499999999999998E-2</v>
      </c>
      <c r="AZ26" s="80">
        <f t="shared" si="27"/>
        <v>-4.1399999999999999E-2</v>
      </c>
      <c r="BA26" s="80">
        <f t="shared" si="27"/>
        <v>-2.23E-2</v>
      </c>
      <c r="BB26" s="80">
        <f t="shared" si="27"/>
        <v>0</v>
      </c>
      <c r="BC26" s="80">
        <f t="shared" si="27"/>
        <v>3.3399999999999999E-2</v>
      </c>
      <c r="BD26" s="82">
        <f t="shared" si="27"/>
        <v>6.6900000000000001E-2</v>
      </c>
      <c r="BE26" s="57" t="s">
        <v>55</v>
      </c>
      <c r="BG26" s="59"/>
      <c r="BH26" s="83"/>
      <c r="BI26" s="83"/>
    </row>
    <row r="27" spans="1:61" s="58" customFormat="1" ht="13.5">
      <c r="B27" s="60" t="s">
        <v>75</v>
      </c>
      <c r="C27" s="60" t="s">
        <v>56</v>
      </c>
      <c r="D27" s="61">
        <v>18</v>
      </c>
      <c r="E27" s="60">
        <v>10</v>
      </c>
      <c r="F27" s="62">
        <v>1</v>
      </c>
      <c r="G27" s="62">
        <v>1</v>
      </c>
      <c r="H27" s="63"/>
      <c r="I27" s="64">
        <f t="shared" si="11"/>
        <v>23293780.659786955</v>
      </c>
      <c r="J27" s="60">
        <v>29117225.824733689</v>
      </c>
      <c r="K27" s="66">
        <f t="shared" si="12"/>
        <v>34940670.989680424</v>
      </c>
      <c r="L27" s="67"/>
      <c r="M27" s="64">
        <f>ROUNDUP(N27*0.8,-1)</f>
        <v>1294110</v>
      </c>
      <c r="N27" s="60">
        <f t="shared" si="18"/>
        <v>1617630</v>
      </c>
      <c r="O27" s="66">
        <f t="shared" si="28"/>
        <v>1941160</v>
      </c>
      <c r="P27" s="64">
        <f t="shared" si="1"/>
        <v>23293980</v>
      </c>
      <c r="Q27" s="60">
        <f t="shared" si="1"/>
        <v>29117340</v>
      </c>
      <c r="R27" s="63">
        <f t="shared" si="1"/>
        <v>34940880</v>
      </c>
      <c r="S27" s="68">
        <v>0.14000000000000001</v>
      </c>
      <c r="T27" s="60">
        <f t="shared" si="14"/>
        <v>2174400</v>
      </c>
      <c r="U27" s="63">
        <f t="shared" si="15"/>
        <v>3261600</v>
      </c>
      <c r="V27" s="68">
        <v>0.04</v>
      </c>
      <c r="W27" s="60">
        <f t="shared" si="16"/>
        <v>621600</v>
      </c>
      <c r="X27" s="66">
        <f t="shared" si="2"/>
        <v>932400</v>
      </c>
      <c r="Y27" s="69">
        <v>0.24</v>
      </c>
      <c r="Z27" s="105">
        <v>0.24</v>
      </c>
      <c r="AA27" s="105">
        <f t="shared" si="17"/>
        <v>8.9999999999999969E-2</v>
      </c>
      <c r="AB27" s="105">
        <v>0.67</v>
      </c>
      <c r="AC27" s="71">
        <f>18*Z27/6</f>
        <v>0.72000000000000008</v>
      </c>
      <c r="AD27" s="72">
        <f t="shared" si="4"/>
        <v>0</v>
      </c>
      <c r="AE27" s="73">
        <f t="shared" si="5"/>
        <v>0.28000000000000003</v>
      </c>
      <c r="AF27" s="73">
        <f t="shared" si="6"/>
        <v>0.64</v>
      </c>
      <c r="AG27" s="73">
        <v>1</v>
      </c>
      <c r="AH27" s="73">
        <f t="shared" si="7"/>
        <v>1.36</v>
      </c>
      <c r="AI27" s="74">
        <f t="shared" si="8"/>
        <v>1.72</v>
      </c>
      <c r="AJ27" s="75">
        <f t="shared" si="19"/>
        <v>6</v>
      </c>
      <c r="AK27" s="76">
        <f t="shared" si="9"/>
        <v>0</v>
      </c>
      <c r="AL27" s="77">
        <f>$AJ27*AE27</f>
        <v>1.6800000000000002</v>
      </c>
      <c r="AM27" s="77">
        <f>$AJ27*AF27</f>
        <v>3.84</v>
      </c>
      <c r="AN27" s="77">
        <f>$AJ27*AG27</f>
        <v>6</v>
      </c>
      <c r="AO27" s="77">
        <f>$AJ27*AH27</f>
        <v>8.16</v>
      </c>
      <c r="AP27" s="78">
        <f>$AJ27*AI27</f>
        <v>10.32</v>
      </c>
      <c r="AQ27" s="79">
        <f t="shared" si="27"/>
        <v>-0.17349999999999999</v>
      </c>
      <c r="AR27" s="80">
        <f t="shared" si="27"/>
        <v>-0.17</v>
      </c>
      <c r="AS27" s="80">
        <f t="shared" si="27"/>
        <v>-0.161</v>
      </c>
      <c r="AT27" s="80">
        <f t="shared" si="27"/>
        <v>-0.1497</v>
      </c>
      <c r="AU27" s="80">
        <f t="shared" si="27"/>
        <v>-0.1389</v>
      </c>
      <c r="AV27" s="81">
        <f t="shared" si="27"/>
        <v>-0.12970000000000001</v>
      </c>
      <c r="AW27" s="80">
        <f t="shared" si="27"/>
        <v>-0.1242</v>
      </c>
      <c r="AX27" s="80">
        <f t="shared" si="27"/>
        <v>-0.1057</v>
      </c>
      <c r="AY27" s="80">
        <f t="shared" si="27"/>
        <v>-7.4499999999999997E-2</v>
      </c>
      <c r="AZ27" s="80">
        <f t="shared" si="27"/>
        <v>-5.7299999999999997E-2</v>
      </c>
      <c r="BA27" s="80">
        <f t="shared" si="27"/>
        <v>-4.0099999999999997E-2</v>
      </c>
      <c r="BB27" s="80">
        <f t="shared" si="27"/>
        <v>-2.01E-2</v>
      </c>
      <c r="BC27" s="80">
        <f t="shared" si="27"/>
        <v>0</v>
      </c>
      <c r="BD27" s="82">
        <f t="shared" si="27"/>
        <v>3.0099999999999998E-2</v>
      </c>
      <c r="BE27" s="57" t="s">
        <v>56</v>
      </c>
    </row>
    <row r="28" spans="1:61" s="58" customFormat="1" ht="14" thickBot="1">
      <c r="B28" s="60"/>
      <c r="C28" s="60" t="s">
        <v>76</v>
      </c>
      <c r="D28" s="61">
        <v>19</v>
      </c>
      <c r="E28" s="60"/>
      <c r="F28" s="62"/>
      <c r="G28" s="62"/>
      <c r="H28" s="63"/>
      <c r="I28" s="106">
        <f>J28*0.8</f>
        <v>25629402.536537677</v>
      </c>
      <c r="J28" s="107">
        <f>J27+(J27-J26)</f>
        <v>32036753.170672096</v>
      </c>
      <c r="K28" s="108">
        <f t="shared" si="12"/>
        <v>38444103.804806516</v>
      </c>
      <c r="L28" s="67">
        <f t="shared" ref="L28:AP28" si="38">L27+(L27-L26)</f>
        <v>0</v>
      </c>
      <c r="M28" s="106">
        <f>ROUNDUP(N28*0.8,-1)</f>
        <v>1423860</v>
      </c>
      <c r="N28" s="109">
        <f t="shared" si="18"/>
        <v>1779820</v>
      </c>
      <c r="O28" s="108">
        <f t="shared" si="28"/>
        <v>2135790</v>
      </c>
      <c r="P28" s="106">
        <f t="shared" si="1"/>
        <v>25629480</v>
      </c>
      <c r="Q28" s="109">
        <f t="shared" si="1"/>
        <v>32036760</v>
      </c>
      <c r="R28" s="110">
        <f t="shared" si="1"/>
        <v>38444220</v>
      </c>
      <c r="S28" s="111">
        <f>S27</f>
        <v>0.14000000000000001</v>
      </c>
      <c r="T28" s="109">
        <f t="shared" si="38"/>
        <v>2392200</v>
      </c>
      <c r="U28" s="110">
        <f t="shared" si="38"/>
        <v>3588600</v>
      </c>
      <c r="V28" s="111">
        <f>V27</f>
        <v>0.04</v>
      </c>
      <c r="W28" s="109">
        <f t="shared" si="38"/>
        <v>684000</v>
      </c>
      <c r="X28" s="108">
        <f t="shared" si="38"/>
        <v>1026000</v>
      </c>
      <c r="Y28" s="69">
        <f t="shared" si="38"/>
        <v>0.25</v>
      </c>
      <c r="Z28" s="112">
        <f t="shared" si="38"/>
        <v>0.25</v>
      </c>
      <c r="AA28" s="112">
        <f t="shared" si="38"/>
        <v>7.999999999999996E-2</v>
      </c>
      <c r="AB28" s="112">
        <f t="shared" si="38"/>
        <v>0.67</v>
      </c>
      <c r="AC28" s="71">
        <f>AC27+(AC27-AC26)</f>
        <v>0.75000000000000011</v>
      </c>
      <c r="AD28" s="113">
        <f t="shared" si="4"/>
        <v>0</v>
      </c>
      <c r="AE28" s="114">
        <f t="shared" si="5"/>
        <v>0.25</v>
      </c>
      <c r="AF28" s="114">
        <f t="shared" si="6"/>
        <v>0.625</v>
      </c>
      <c r="AG28" s="114">
        <f t="shared" si="38"/>
        <v>1</v>
      </c>
      <c r="AH28" s="114">
        <f t="shared" si="7"/>
        <v>1.375</v>
      </c>
      <c r="AI28" s="115">
        <f t="shared" si="8"/>
        <v>1.75</v>
      </c>
      <c r="AJ28" s="75">
        <f t="shared" si="38"/>
        <v>6</v>
      </c>
      <c r="AK28" s="116">
        <f t="shared" si="9"/>
        <v>0</v>
      </c>
      <c r="AL28" s="117">
        <f t="shared" si="38"/>
        <v>1.5000000000000002</v>
      </c>
      <c r="AM28" s="117">
        <f>AM27+(AM27-AM26)</f>
        <v>3.7499999999999996</v>
      </c>
      <c r="AN28" s="117">
        <f t="shared" si="38"/>
        <v>6</v>
      </c>
      <c r="AO28" s="117">
        <f t="shared" si="38"/>
        <v>8.25</v>
      </c>
      <c r="AP28" s="118">
        <f t="shared" si="38"/>
        <v>10.5</v>
      </c>
      <c r="AQ28" s="119">
        <f t="shared" si="27"/>
        <v>-0.1759</v>
      </c>
      <c r="AR28" s="120">
        <f t="shared" si="27"/>
        <v>-0.17269999999999999</v>
      </c>
      <c r="AS28" s="120">
        <f t="shared" si="27"/>
        <v>-0.1646</v>
      </c>
      <c r="AT28" s="120">
        <f t="shared" si="27"/>
        <v>-0.15429999999999999</v>
      </c>
      <c r="AU28" s="120">
        <f t="shared" si="27"/>
        <v>-0.14449999999999999</v>
      </c>
      <c r="AV28" s="121">
        <f t="shared" si="27"/>
        <v>-0.1361</v>
      </c>
      <c r="AW28" s="122">
        <f t="shared" si="27"/>
        <v>-0.13109999999999999</v>
      </c>
      <c r="AX28" s="122">
        <f t="shared" si="27"/>
        <v>-0.1143</v>
      </c>
      <c r="AY28" s="122">
        <f t="shared" si="27"/>
        <v>-8.5999999999999993E-2</v>
      </c>
      <c r="AZ28" s="122">
        <f t="shared" si="27"/>
        <v>-7.0300000000000001E-2</v>
      </c>
      <c r="BA28" s="122">
        <f t="shared" si="27"/>
        <v>-5.4699999999999999E-2</v>
      </c>
      <c r="BB28" s="122">
        <f t="shared" si="27"/>
        <v>-3.6499999999999998E-2</v>
      </c>
      <c r="BC28" s="122">
        <f t="shared" si="27"/>
        <v>-1.8200000000000001E-2</v>
      </c>
      <c r="BD28" s="123">
        <f t="shared" si="27"/>
        <v>0</v>
      </c>
      <c r="BE28" s="57" t="s">
        <v>57</v>
      </c>
    </row>
    <row r="29" spans="1:61" s="1" customFormat="1" ht="13.5">
      <c r="H29" s="4"/>
      <c r="AN29" s="1">
        <f>3.87/AN19</f>
        <v>0.64500000000000002</v>
      </c>
      <c r="AO29" s="124"/>
    </row>
    <row r="30" spans="1:61" s="1" customFormat="1" ht="14" thickBot="1">
      <c r="D30" s="1">
        <v>1</v>
      </c>
      <c r="E30" s="1">
        <v>2</v>
      </c>
      <c r="F30" s="1">
        <v>3</v>
      </c>
      <c r="G30" s="1">
        <v>4</v>
      </c>
      <c r="H30" s="1">
        <v>5</v>
      </c>
      <c r="I30" s="1">
        <v>6</v>
      </c>
      <c r="J30" s="1">
        <v>7</v>
      </c>
      <c r="K30" s="1">
        <v>8</v>
      </c>
      <c r="L30" s="1">
        <v>9</v>
      </c>
      <c r="M30" s="1">
        <v>10</v>
      </c>
      <c r="N30" s="1">
        <v>11</v>
      </c>
      <c r="O30" s="1">
        <v>12</v>
      </c>
      <c r="AN30" s="1">
        <f>6.75/AN20</f>
        <v>1.125</v>
      </c>
      <c r="AQ30" s="125">
        <f t="shared" ref="AQ30:BF30" si="39">VLOOKUP(AQ32,$D$33:$Q$48,14,0)</f>
        <v>3509100</v>
      </c>
      <c r="AR30" s="125">
        <f t="shared" si="39"/>
        <v>4382640</v>
      </c>
      <c r="AS30" s="125">
        <f t="shared" si="39"/>
        <v>5152320</v>
      </c>
      <c r="AT30" s="125">
        <f t="shared" si="39"/>
        <v>5607540</v>
      </c>
      <c r="AU30" s="125">
        <f t="shared" si="39"/>
        <v>6062760</v>
      </c>
      <c r="AV30" s="125">
        <f t="shared" si="39"/>
        <v>6946020</v>
      </c>
      <c r="AW30" s="125">
        <f t="shared" si="39"/>
        <v>7895160</v>
      </c>
      <c r="AX30" s="125">
        <f t="shared" si="39"/>
        <v>10230660</v>
      </c>
      <c r="AY30" s="125">
        <f t="shared" si="39"/>
        <v>11035260</v>
      </c>
      <c r="AZ30" s="125">
        <f t="shared" si="39"/>
        <v>13729680</v>
      </c>
      <c r="BA30" s="125">
        <f t="shared" si="39"/>
        <v>18268560</v>
      </c>
      <c r="BB30" s="125">
        <f t="shared" si="39"/>
        <v>20773440</v>
      </c>
      <c r="BC30" s="125">
        <f t="shared" si="39"/>
        <v>23278320</v>
      </c>
      <c r="BD30" s="125">
        <f t="shared" si="39"/>
        <v>26197740</v>
      </c>
      <c r="BE30" s="125">
        <f t="shared" si="39"/>
        <v>29117340</v>
      </c>
      <c r="BF30" s="125">
        <f t="shared" si="39"/>
        <v>32036760</v>
      </c>
    </row>
    <row r="31" spans="1:61" s="1" customFormat="1" ht="13.5">
      <c r="B31" s="126" t="s">
        <v>77</v>
      </c>
      <c r="C31" s="126"/>
      <c r="D31" s="126"/>
      <c r="E31" s="126"/>
      <c r="F31" s="126"/>
      <c r="G31" s="126"/>
      <c r="H31" s="126">
        <f>H29-H30</f>
        <v>-5</v>
      </c>
      <c r="I31" s="127" t="s">
        <v>10</v>
      </c>
      <c r="J31" s="128"/>
      <c r="K31" s="129"/>
      <c r="L31" s="126"/>
      <c r="M31" s="127" t="s">
        <v>11</v>
      </c>
      <c r="N31" s="128"/>
      <c r="O31" s="129"/>
      <c r="P31" s="127" t="s">
        <v>78</v>
      </c>
      <c r="Q31" s="128"/>
      <c r="R31" s="128"/>
      <c r="S31" s="130" t="s">
        <v>79</v>
      </c>
      <c r="T31" s="131"/>
      <c r="U31" s="132"/>
      <c r="V31" s="130" t="s">
        <v>80</v>
      </c>
      <c r="W31" s="131"/>
      <c r="X31" s="132"/>
      <c r="Y31" s="133">
        <v>0.7</v>
      </c>
      <c r="Z31" s="126"/>
      <c r="AA31" s="126"/>
      <c r="AB31" s="126"/>
      <c r="AC31" s="126"/>
      <c r="AD31" s="130"/>
      <c r="AE31" s="131"/>
      <c r="AF31" s="131"/>
      <c r="AG31" s="131" t="s">
        <v>16</v>
      </c>
      <c r="AH31" s="131"/>
      <c r="AI31" s="132"/>
      <c r="AJ31" s="126"/>
      <c r="AK31" s="130"/>
      <c r="AL31" s="131"/>
      <c r="AM31" s="131"/>
      <c r="AN31" s="131" t="s">
        <v>19</v>
      </c>
      <c r="AO31" s="131"/>
      <c r="AP31" s="132"/>
      <c r="AQ31" s="134" t="s">
        <v>20</v>
      </c>
      <c r="AR31" s="135"/>
      <c r="AS31" s="135"/>
      <c r="AT31" s="135"/>
      <c r="AU31" s="135"/>
      <c r="AV31" s="135"/>
      <c r="AW31" s="135"/>
      <c r="AX31" s="135"/>
      <c r="AY31" s="135"/>
      <c r="AZ31" s="135"/>
      <c r="BA31" s="135"/>
      <c r="BB31" s="135"/>
      <c r="BC31" s="135"/>
      <c r="BD31" s="136"/>
      <c r="BE31" s="136"/>
      <c r="BF31" s="137"/>
    </row>
    <row r="32" spans="1:61" s="33" customFormat="1" ht="14" thickBot="1">
      <c r="B32" s="138" t="s">
        <v>81</v>
      </c>
      <c r="C32" s="138" t="s">
        <v>23</v>
      </c>
      <c r="D32" s="139" t="s">
        <v>82</v>
      </c>
      <c r="E32" s="139" t="s">
        <v>23</v>
      </c>
      <c r="F32" s="138" t="s">
        <v>24</v>
      </c>
      <c r="G32" s="138" t="s">
        <v>25</v>
      </c>
      <c r="H32" s="140" t="s">
        <v>26</v>
      </c>
      <c r="I32" s="141" t="s">
        <v>27</v>
      </c>
      <c r="J32" s="142" t="s">
        <v>28</v>
      </c>
      <c r="K32" s="143" t="s">
        <v>29</v>
      </c>
      <c r="L32" s="144" t="s">
        <v>30</v>
      </c>
      <c r="M32" s="141" t="s">
        <v>27</v>
      </c>
      <c r="N32" s="142" t="s">
        <v>28</v>
      </c>
      <c r="O32" s="143" t="s">
        <v>29</v>
      </c>
      <c r="P32" s="141" t="s">
        <v>27</v>
      </c>
      <c r="Q32" s="142" t="s">
        <v>28</v>
      </c>
      <c r="R32" s="145" t="s">
        <v>29</v>
      </c>
      <c r="S32" s="146" t="s">
        <v>31</v>
      </c>
      <c r="T32" s="138" t="s">
        <v>27</v>
      </c>
      <c r="U32" s="147" t="s">
        <v>29</v>
      </c>
      <c r="V32" s="146" t="s">
        <v>31</v>
      </c>
      <c r="W32" s="138" t="s">
        <v>27</v>
      </c>
      <c r="X32" s="147" t="s">
        <v>29</v>
      </c>
      <c r="Y32" s="148" t="s">
        <v>32</v>
      </c>
      <c r="Z32" s="138" t="s">
        <v>33</v>
      </c>
      <c r="AA32" s="138"/>
      <c r="AB32" s="138"/>
      <c r="AC32" s="140" t="s">
        <v>36</v>
      </c>
      <c r="AD32" s="146" t="s">
        <v>83</v>
      </c>
      <c r="AE32" s="138" t="s">
        <v>38</v>
      </c>
      <c r="AF32" s="138" t="s">
        <v>39</v>
      </c>
      <c r="AG32" s="138" t="s">
        <v>40</v>
      </c>
      <c r="AH32" s="138" t="s">
        <v>41</v>
      </c>
      <c r="AI32" s="147" t="s">
        <v>42</v>
      </c>
      <c r="AJ32" s="149" t="s">
        <v>43</v>
      </c>
      <c r="AK32" s="146" t="s">
        <v>83</v>
      </c>
      <c r="AL32" s="138" t="s">
        <v>38</v>
      </c>
      <c r="AM32" s="138" t="s">
        <v>39</v>
      </c>
      <c r="AN32" s="138" t="s">
        <v>40</v>
      </c>
      <c r="AO32" s="138" t="s">
        <v>41</v>
      </c>
      <c r="AP32" s="147" t="s">
        <v>42</v>
      </c>
      <c r="AQ32" s="150" t="s">
        <v>84</v>
      </c>
      <c r="AR32" s="151" t="s">
        <v>85</v>
      </c>
      <c r="AS32" s="151" t="s">
        <v>86</v>
      </c>
      <c r="AT32" s="151" t="s">
        <v>87</v>
      </c>
      <c r="AU32" s="151" t="s">
        <v>88</v>
      </c>
      <c r="AV32" s="151" t="s">
        <v>89</v>
      </c>
      <c r="AW32" s="151" t="s">
        <v>90</v>
      </c>
      <c r="AX32" s="152" t="s">
        <v>49</v>
      </c>
      <c r="AY32" s="152" t="s">
        <v>50</v>
      </c>
      <c r="AZ32" s="152" t="s">
        <v>51</v>
      </c>
      <c r="BA32" s="152" t="s">
        <v>52</v>
      </c>
      <c r="BB32" s="152" t="s">
        <v>53</v>
      </c>
      <c r="BC32" s="152" t="s">
        <v>54</v>
      </c>
      <c r="BD32" s="152" t="s">
        <v>55</v>
      </c>
      <c r="BE32" s="152" t="s">
        <v>56</v>
      </c>
      <c r="BF32" s="153" t="s">
        <v>57</v>
      </c>
    </row>
    <row r="33" spans="2:59" s="58" customFormat="1" ht="14" thickTop="1">
      <c r="B33" s="36" t="s">
        <v>91</v>
      </c>
      <c r="C33" s="35" t="s">
        <v>84</v>
      </c>
      <c r="D33" s="35" t="s">
        <v>84</v>
      </c>
      <c r="E33" s="35">
        <v>17</v>
      </c>
      <c r="F33" s="36">
        <v>4</v>
      </c>
      <c r="G33" s="154">
        <v>2</v>
      </c>
      <c r="H33" s="37"/>
      <c r="I33" s="38">
        <f t="shared" ref="I33:I39" si="40">J33*0.8</f>
        <v>2903200</v>
      </c>
      <c r="J33" s="39">
        <v>3629000</v>
      </c>
      <c r="K33" s="40">
        <f t="shared" ref="K33:K39" si="41">J33*1.2</f>
        <v>4354800</v>
      </c>
      <c r="L33" s="41">
        <f>10000*12</f>
        <v>120000</v>
      </c>
      <c r="M33" s="38">
        <f t="shared" ref="M33:M39" si="42">ROUNDUP(N33*0.8,-1)</f>
        <v>155960</v>
      </c>
      <c r="N33" s="35">
        <f t="shared" ref="N33:N39" si="43">ROUNDUP((J33-L33)/18,-1)</f>
        <v>194950</v>
      </c>
      <c r="O33" s="40">
        <f t="shared" ref="O33:O39" si="44">ROUNDUP(N33*1.2,-1)</f>
        <v>233940</v>
      </c>
      <c r="P33" s="38">
        <f t="shared" ref="P33:R39" si="45">M33*18</f>
        <v>2807280</v>
      </c>
      <c r="Q33" s="35">
        <f t="shared" si="45"/>
        <v>3509100</v>
      </c>
      <c r="R33" s="37">
        <f t="shared" si="45"/>
        <v>4210920</v>
      </c>
      <c r="S33" s="155">
        <v>0.06</v>
      </c>
      <c r="T33" s="35">
        <f t="shared" ref="T33:T39" si="46">ROUNDUP(M33*S33,-2)*12</f>
        <v>112800</v>
      </c>
      <c r="U33" s="40">
        <f t="shared" ref="U33:U39" si="47">ROUNDUP(O33*S33,-2)*12</f>
        <v>169200</v>
      </c>
      <c r="V33" s="155">
        <v>0.03</v>
      </c>
      <c r="W33" s="35">
        <f t="shared" ref="W33:W39" si="48">ROUNDUP(M33*V33,-2)*12</f>
        <v>56400</v>
      </c>
      <c r="X33" s="40">
        <f t="shared" ref="X33:X39" si="49">ROUNDUP(O33*V33,-2)*12</f>
        <v>85200</v>
      </c>
      <c r="Y33" s="156">
        <v>7.0000000000000007E-2</v>
      </c>
      <c r="Z33" s="157">
        <f t="shared" ref="Z33:Z39" si="50">(Y33*Y$31)</f>
        <v>4.9000000000000002E-2</v>
      </c>
      <c r="AA33" s="157"/>
      <c r="AB33" s="157"/>
      <c r="AC33" s="158">
        <f>18*Z33/6</f>
        <v>0.14699999999999999</v>
      </c>
      <c r="AD33" s="159">
        <f t="shared" ref="AD33:AD40" si="51">MAX(0,ROUND(AE33-AC33/2,3))</f>
        <v>0.78</v>
      </c>
      <c r="AE33" s="160">
        <f t="shared" ref="AE33:AE40" si="52">ROUND(AG33-AC33,3)</f>
        <v>0.85299999999999998</v>
      </c>
      <c r="AF33" s="160">
        <f t="shared" ref="AF33:AF40" si="53">ROUND(AG33-AC33/2,3)</f>
        <v>0.92700000000000005</v>
      </c>
      <c r="AG33" s="160">
        <v>1</v>
      </c>
      <c r="AH33" s="160">
        <f t="shared" ref="AH33:AH40" si="54">ROUND(AG33+AC33/2,3)</f>
        <v>1.0740000000000001</v>
      </c>
      <c r="AI33" s="161">
        <f t="shared" ref="AI33:AI40" si="55">ROUND(AC33+AG33,3)</f>
        <v>1.147</v>
      </c>
      <c r="AJ33" s="49">
        <v>6</v>
      </c>
      <c r="AK33" s="162">
        <f t="shared" ref="AK33:AK40" si="56">$AJ33*AD33</f>
        <v>4.68</v>
      </c>
      <c r="AL33" s="163">
        <f t="shared" ref="AL33:AP39" si="57">AE33*$AJ33</f>
        <v>5.1180000000000003</v>
      </c>
      <c r="AM33" s="163">
        <f t="shared" si="57"/>
        <v>5.5620000000000003</v>
      </c>
      <c r="AN33" s="163">
        <f t="shared" si="57"/>
        <v>6</v>
      </c>
      <c r="AO33" s="163">
        <f t="shared" si="57"/>
        <v>6.4440000000000008</v>
      </c>
      <c r="AP33" s="164">
        <f t="shared" si="57"/>
        <v>6.8819999999999997</v>
      </c>
      <c r="AQ33" s="165">
        <f t="shared" ref="AQ33:BF48" si="58">IF(AQ$30&gt;$Q33,ROUND((AQ$30-$Q33)/$Q33*$AP$4,4),ROUND((AQ$30-$Q33)/$Q33*$AQ$4,4))</f>
        <v>0</v>
      </c>
      <c r="AR33" s="80">
        <f t="shared" si="58"/>
        <v>7.4700000000000003E-2</v>
      </c>
      <c r="AS33" s="80">
        <f t="shared" si="58"/>
        <v>0.14050000000000001</v>
      </c>
      <c r="AT33" s="80">
        <f t="shared" si="58"/>
        <v>0.1794</v>
      </c>
      <c r="AU33" s="80">
        <f t="shared" si="58"/>
        <v>0.21829999999999999</v>
      </c>
      <c r="AV33" s="80">
        <f t="shared" si="58"/>
        <v>0.29380000000000001</v>
      </c>
      <c r="AW33" s="80">
        <f t="shared" si="58"/>
        <v>0.375</v>
      </c>
      <c r="AX33" s="80">
        <f t="shared" si="58"/>
        <v>0.5746</v>
      </c>
      <c r="AY33" s="81">
        <f t="shared" si="58"/>
        <v>0.64339999999999997</v>
      </c>
      <c r="AZ33" s="81">
        <f t="shared" si="58"/>
        <v>0.87380000000000002</v>
      </c>
      <c r="BA33" s="81">
        <f t="shared" si="58"/>
        <v>1.2618</v>
      </c>
      <c r="BB33" s="81">
        <f t="shared" si="58"/>
        <v>1.476</v>
      </c>
      <c r="BC33" s="81">
        <f t="shared" si="58"/>
        <v>1.6900999999999999</v>
      </c>
      <c r="BD33" s="81">
        <f t="shared" si="58"/>
        <v>1.9397</v>
      </c>
      <c r="BE33" s="81">
        <f t="shared" si="58"/>
        <v>2.1892999999999998</v>
      </c>
      <c r="BF33" s="103">
        <f t="shared" si="58"/>
        <v>2.4388999999999998</v>
      </c>
      <c r="BG33" s="166" t="str">
        <f t="shared" ref="BG33:BG40" si="59">B33</f>
        <v>F01</v>
      </c>
    </row>
    <row r="34" spans="2:59" s="58" customFormat="1" ht="13.5">
      <c r="B34" s="62" t="s">
        <v>92</v>
      </c>
      <c r="C34" s="60" t="s">
        <v>85</v>
      </c>
      <c r="D34" s="60" t="s">
        <v>85</v>
      </c>
      <c r="E34" s="60">
        <v>18</v>
      </c>
      <c r="F34" s="62">
        <v>4</v>
      </c>
      <c r="G34" s="167">
        <v>2</v>
      </c>
      <c r="H34" s="63"/>
      <c r="I34" s="64">
        <f t="shared" si="40"/>
        <v>3602065.7576221842</v>
      </c>
      <c r="J34" s="65">
        <v>4502582.1970277298</v>
      </c>
      <c r="K34" s="66">
        <f t="shared" si="41"/>
        <v>5403098.6364332754</v>
      </c>
      <c r="L34" s="67">
        <f t="shared" ref="L34:L39" si="60">10000*12</f>
        <v>120000</v>
      </c>
      <c r="M34" s="64">
        <f t="shared" si="42"/>
        <v>194790</v>
      </c>
      <c r="N34" s="60">
        <f t="shared" si="43"/>
        <v>243480</v>
      </c>
      <c r="O34" s="66">
        <f t="shared" si="44"/>
        <v>292180</v>
      </c>
      <c r="P34" s="64">
        <f t="shared" si="45"/>
        <v>3506220</v>
      </c>
      <c r="Q34" s="60">
        <f t="shared" si="45"/>
        <v>4382640</v>
      </c>
      <c r="R34" s="63">
        <f t="shared" si="45"/>
        <v>5259240</v>
      </c>
      <c r="S34" s="168">
        <v>0.06</v>
      </c>
      <c r="T34" s="60">
        <f t="shared" si="46"/>
        <v>140400</v>
      </c>
      <c r="U34" s="66">
        <f t="shared" si="47"/>
        <v>211200</v>
      </c>
      <c r="V34" s="168">
        <v>0.03</v>
      </c>
      <c r="W34" s="60">
        <f t="shared" si="48"/>
        <v>70800</v>
      </c>
      <c r="X34" s="66">
        <f t="shared" si="49"/>
        <v>105600</v>
      </c>
      <c r="Y34" s="169">
        <v>7.4999999999999997E-2</v>
      </c>
      <c r="Z34" s="170">
        <f t="shared" si="50"/>
        <v>5.2499999999999998E-2</v>
      </c>
      <c r="AA34" s="170"/>
      <c r="AB34" s="170"/>
      <c r="AC34" s="171">
        <f t="shared" ref="AC34:AC40" si="61">18*Z34/6</f>
        <v>0.1575</v>
      </c>
      <c r="AD34" s="159">
        <f t="shared" si="51"/>
        <v>0.76400000000000001</v>
      </c>
      <c r="AE34" s="172">
        <f t="shared" si="52"/>
        <v>0.84299999999999997</v>
      </c>
      <c r="AF34" s="172">
        <f t="shared" si="53"/>
        <v>0.92100000000000004</v>
      </c>
      <c r="AG34" s="172">
        <v>1</v>
      </c>
      <c r="AH34" s="172">
        <f t="shared" si="54"/>
        <v>1.079</v>
      </c>
      <c r="AI34" s="173">
        <f t="shared" si="55"/>
        <v>1.1579999999999999</v>
      </c>
      <c r="AJ34" s="75">
        <v>6</v>
      </c>
      <c r="AK34" s="162">
        <f t="shared" si="56"/>
        <v>4.5839999999999996</v>
      </c>
      <c r="AL34" s="174">
        <f t="shared" si="57"/>
        <v>5.0579999999999998</v>
      </c>
      <c r="AM34" s="174">
        <f t="shared" si="57"/>
        <v>5.5259999999999998</v>
      </c>
      <c r="AN34" s="174">
        <f t="shared" si="57"/>
        <v>6</v>
      </c>
      <c r="AO34" s="174">
        <f t="shared" si="57"/>
        <v>6.4740000000000002</v>
      </c>
      <c r="AP34" s="175">
        <f t="shared" si="57"/>
        <v>6.9479999999999995</v>
      </c>
      <c r="AQ34" s="165">
        <f t="shared" si="58"/>
        <v>-3.9899999999999998E-2</v>
      </c>
      <c r="AR34" s="80">
        <f t="shared" si="58"/>
        <v>0</v>
      </c>
      <c r="AS34" s="80">
        <f t="shared" si="58"/>
        <v>5.2699999999999997E-2</v>
      </c>
      <c r="AT34" s="80">
        <f t="shared" si="58"/>
        <v>8.3799999999999999E-2</v>
      </c>
      <c r="AU34" s="80">
        <f t="shared" si="58"/>
        <v>0.115</v>
      </c>
      <c r="AV34" s="80">
        <f t="shared" si="58"/>
        <v>0.17549999999999999</v>
      </c>
      <c r="AW34" s="80">
        <f t="shared" si="58"/>
        <v>0.2404</v>
      </c>
      <c r="AX34" s="80">
        <f t="shared" si="58"/>
        <v>0.40029999999999999</v>
      </c>
      <c r="AY34" s="81">
        <f t="shared" si="58"/>
        <v>0.45540000000000003</v>
      </c>
      <c r="AZ34" s="81">
        <f t="shared" si="58"/>
        <v>0.63980000000000004</v>
      </c>
      <c r="BA34" s="81">
        <f t="shared" si="58"/>
        <v>0.95050000000000001</v>
      </c>
      <c r="BB34" s="81">
        <f t="shared" si="58"/>
        <v>1.1220000000000001</v>
      </c>
      <c r="BC34" s="81">
        <f t="shared" si="58"/>
        <v>1.2934000000000001</v>
      </c>
      <c r="BD34" s="81">
        <f t="shared" si="58"/>
        <v>1.4933000000000001</v>
      </c>
      <c r="BE34" s="81">
        <f t="shared" si="58"/>
        <v>1.6931</v>
      </c>
      <c r="BF34" s="103">
        <f t="shared" si="58"/>
        <v>1.893</v>
      </c>
      <c r="BG34" s="166" t="str">
        <f t="shared" si="59"/>
        <v>F02_01</v>
      </c>
    </row>
    <row r="35" spans="2:59" s="58" customFormat="1" ht="13.5">
      <c r="B35" s="62" t="s">
        <v>93</v>
      </c>
      <c r="C35" s="60" t="s">
        <v>86</v>
      </c>
      <c r="D35" s="60" t="s">
        <v>86</v>
      </c>
      <c r="E35" s="60">
        <v>19</v>
      </c>
      <c r="F35" s="62">
        <v>4</v>
      </c>
      <c r="G35" s="167">
        <v>2</v>
      </c>
      <c r="H35" s="63"/>
      <c r="I35" s="64">
        <f t="shared" si="40"/>
        <v>4217798.5964677399</v>
      </c>
      <c r="J35" s="65">
        <v>5272248.2455846751</v>
      </c>
      <c r="K35" s="66">
        <f t="shared" si="41"/>
        <v>6326697.8947016103</v>
      </c>
      <c r="L35" s="67">
        <f t="shared" si="60"/>
        <v>120000</v>
      </c>
      <c r="M35" s="64">
        <f t="shared" si="42"/>
        <v>229000</v>
      </c>
      <c r="N35" s="60">
        <f t="shared" si="43"/>
        <v>286240</v>
      </c>
      <c r="O35" s="66">
        <f t="shared" si="44"/>
        <v>343490</v>
      </c>
      <c r="P35" s="64">
        <f t="shared" si="45"/>
        <v>4122000</v>
      </c>
      <c r="Q35" s="60">
        <f t="shared" si="45"/>
        <v>5152320</v>
      </c>
      <c r="R35" s="63">
        <f t="shared" si="45"/>
        <v>6182820</v>
      </c>
      <c r="S35" s="168">
        <v>0.06</v>
      </c>
      <c r="T35" s="60">
        <f t="shared" si="46"/>
        <v>165600</v>
      </c>
      <c r="U35" s="66">
        <f t="shared" si="47"/>
        <v>248400</v>
      </c>
      <c r="V35" s="168">
        <v>0.03</v>
      </c>
      <c r="W35" s="60">
        <f t="shared" si="48"/>
        <v>82800</v>
      </c>
      <c r="X35" s="66">
        <f t="shared" si="49"/>
        <v>124800</v>
      </c>
      <c r="Y35" s="169">
        <v>7.4999999999999997E-2</v>
      </c>
      <c r="Z35" s="170">
        <f t="shared" si="50"/>
        <v>5.2499999999999998E-2</v>
      </c>
      <c r="AA35" s="170"/>
      <c r="AB35" s="170"/>
      <c r="AC35" s="171">
        <f t="shared" si="61"/>
        <v>0.1575</v>
      </c>
      <c r="AD35" s="159">
        <f t="shared" si="51"/>
        <v>0.76400000000000001</v>
      </c>
      <c r="AE35" s="172">
        <f t="shared" si="52"/>
        <v>0.84299999999999997</v>
      </c>
      <c r="AF35" s="172">
        <f t="shared" si="53"/>
        <v>0.92100000000000004</v>
      </c>
      <c r="AG35" s="172">
        <v>1</v>
      </c>
      <c r="AH35" s="172">
        <f t="shared" si="54"/>
        <v>1.079</v>
      </c>
      <c r="AI35" s="173">
        <f t="shared" si="55"/>
        <v>1.1579999999999999</v>
      </c>
      <c r="AJ35" s="75">
        <v>6</v>
      </c>
      <c r="AK35" s="162">
        <f t="shared" si="56"/>
        <v>4.5839999999999996</v>
      </c>
      <c r="AL35" s="174">
        <f t="shared" si="57"/>
        <v>5.0579999999999998</v>
      </c>
      <c r="AM35" s="174">
        <f t="shared" si="57"/>
        <v>5.5259999999999998</v>
      </c>
      <c r="AN35" s="174">
        <f t="shared" si="57"/>
        <v>6</v>
      </c>
      <c r="AO35" s="174">
        <f t="shared" si="57"/>
        <v>6.4740000000000002</v>
      </c>
      <c r="AP35" s="175">
        <f t="shared" si="57"/>
        <v>6.9479999999999995</v>
      </c>
      <c r="AQ35" s="165">
        <f t="shared" si="58"/>
        <v>-6.3799999999999996E-2</v>
      </c>
      <c r="AR35" s="80">
        <f t="shared" si="58"/>
        <v>-2.9899999999999999E-2</v>
      </c>
      <c r="AS35" s="80">
        <f t="shared" si="58"/>
        <v>0</v>
      </c>
      <c r="AT35" s="80">
        <f t="shared" si="58"/>
        <v>2.6499999999999999E-2</v>
      </c>
      <c r="AU35" s="80">
        <f t="shared" si="58"/>
        <v>5.2999999999999999E-2</v>
      </c>
      <c r="AV35" s="80">
        <f t="shared" si="58"/>
        <v>0.10440000000000001</v>
      </c>
      <c r="AW35" s="80">
        <f t="shared" si="58"/>
        <v>0.15970000000000001</v>
      </c>
      <c r="AX35" s="80">
        <f t="shared" si="58"/>
        <v>0.29570000000000002</v>
      </c>
      <c r="AY35" s="81">
        <f t="shared" si="58"/>
        <v>0.34250000000000003</v>
      </c>
      <c r="AZ35" s="81">
        <f t="shared" si="58"/>
        <v>0.49940000000000001</v>
      </c>
      <c r="BA35" s="81">
        <f t="shared" si="58"/>
        <v>0.76370000000000005</v>
      </c>
      <c r="BB35" s="81">
        <f t="shared" si="58"/>
        <v>0.90959999999999996</v>
      </c>
      <c r="BC35" s="81">
        <f t="shared" si="58"/>
        <v>1.0553999999999999</v>
      </c>
      <c r="BD35" s="81">
        <f t="shared" si="58"/>
        <v>1.2254</v>
      </c>
      <c r="BE35" s="81">
        <f t="shared" si="58"/>
        <v>1.3954</v>
      </c>
      <c r="BF35" s="103">
        <f t="shared" si="58"/>
        <v>1.5653999999999999</v>
      </c>
      <c r="BG35" s="166" t="str">
        <f t="shared" si="59"/>
        <v>F02_02</v>
      </c>
    </row>
    <row r="36" spans="2:59" s="58" customFormat="1" ht="13.5">
      <c r="B36" s="62" t="s">
        <v>94</v>
      </c>
      <c r="C36" s="60" t="s">
        <v>87</v>
      </c>
      <c r="D36" s="60" t="s">
        <v>87</v>
      </c>
      <c r="E36" s="60">
        <v>20</v>
      </c>
      <c r="F36" s="62">
        <v>4</v>
      </c>
      <c r="G36" s="167">
        <v>2</v>
      </c>
      <c r="H36" s="63"/>
      <c r="I36" s="64">
        <f t="shared" si="40"/>
        <v>4581992.1009472162</v>
      </c>
      <c r="J36" s="65">
        <v>5727490.1261840202</v>
      </c>
      <c r="K36" s="66">
        <f t="shared" si="41"/>
        <v>6872988.1514208242</v>
      </c>
      <c r="L36" s="67">
        <f t="shared" si="60"/>
        <v>120000</v>
      </c>
      <c r="M36" s="64">
        <f t="shared" si="42"/>
        <v>249230</v>
      </c>
      <c r="N36" s="60">
        <f t="shared" si="43"/>
        <v>311530</v>
      </c>
      <c r="O36" s="66">
        <f t="shared" si="44"/>
        <v>373840</v>
      </c>
      <c r="P36" s="64">
        <f t="shared" si="45"/>
        <v>4486140</v>
      </c>
      <c r="Q36" s="60">
        <f t="shared" si="45"/>
        <v>5607540</v>
      </c>
      <c r="R36" s="63">
        <f t="shared" si="45"/>
        <v>6729120</v>
      </c>
      <c r="S36" s="168">
        <v>0.06</v>
      </c>
      <c r="T36" s="60">
        <f t="shared" si="46"/>
        <v>180000</v>
      </c>
      <c r="U36" s="66">
        <f t="shared" si="47"/>
        <v>270000</v>
      </c>
      <c r="V36" s="168">
        <v>0.03</v>
      </c>
      <c r="W36" s="60">
        <f t="shared" si="48"/>
        <v>90000</v>
      </c>
      <c r="X36" s="66">
        <f t="shared" si="49"/>
        <v>135600</v>
      </c>
      <c r="Y36" s="169">
        <v>8.5000000000000006E-2</v>
      </c>
      <c r="Z36" s="170">
        <f t="shared" si="50"/>
        <v>5.9499999999999997E-2</v>
      </c>
      <c r="AA36" s="170"/>
      <c r="AB36" s="170"/>
      <c r="AC36" s="176">
        <f t="shared" si="61"/>
        <v>0.17849999999999999</v>
      </c>
      <c r="AD36" s="159">
        <f>MAX(0,ROUND(AE36-AC36/2,3))</f>
        <v>0.73299999999999998</v>
      </c>
      <c r="AE36" s="172">
        <f t="shared" si="52"/>
        <v>0.82199999999999995</v>
      </c>
      <c r="AF36" s="172">
        <f t="shared" si="53"/>
        <v>0.91100000000000003</v>
      </c>
      <c r="AG36" s="172">
        <v>1</v>
      </c>
      <c r="AH36" s="172">
        <f t="shared" si="54"/>
        <v>1.089</v>
      </c>
      <c r="AI36" s="173">
        <f t="shared" si="55"/>
        <v>1.179</v>
      </c>
      <c r="AJ36" s="75">
        <v>6</v>
      </c>
      <c r="AK36" s="162">
        <f t="shared" si="56"/>
        <v>4.3979999999999997</v>
      </c>
      <c r="AL36" s="174">
        <f t="shared" si="57"/>
        <v>4.9319999999999995</v>
      </c>
      <c r="AM36" s="174">
        <f t="shared" si="57"/>
        <v>5.4660000000000002</v>
      </c>
      <c r="AN36" s="174">
        <f t="shared" si="57"/>
        <v>6</v>
      </c>
      <c r="AO36" s="174">
        <f t="shared" si="57"/>
        <v>6.5339999999999998</v>
      </c>
      <c r="AP36" s="175">
        <f t="shared" si="57"/>
        <v>7.0739999999999998</v>
      </c>
      <c r="AQ36" s="165">
        <f t="shared" si="58"/>
        <v>-7.4800000000000005E-2</v>
      </c>
      <c r="AR36" s="80">
        <f t="shared" si="58"/>
        <v>-4.3700000000000003E-2</v>
      </c>
      <c r="AS36" s="80">
        <f t="shared" si="58"/>
        <v>-1.6199999999999999E-2</v>
      </c>
      <c r="AT36" s="80">
        <f t="shared" si="58"/>
        <v>0</v>
      </c>
      <c r="AU36" s="80">
        <f t="shared" si="58"/>
        <v>2.4400000000000002E-2</v>
      </c>
      <c r="AV36" s="80">
        <f t="shared" si="58"/>
        <v>7.1599999999999997E-2</v>
      </c>
      <c r="AW36" s="80">
        <f t="shared" si="58"/>
        <v>0.12239999999999999</v>
      </c>
      <c r="AX36" s="80">
        <f t="shared" si="58"/>
        <v>0.24729999999999999</v>
      </c>
      <c r="AY36" s="81">
        <f t="shared" si="58"/>
        <v>0.29039999999999999</v>
      </c>
      <c r="AZ36" s="81">
        <f t="shared" si="58"/>
        <v>0.4345</v>
      </c>
      <c r="BA36" s="81">
        <f t="shared" si="58"/>
        <v>0.6774</v>
      </c>
      <c r="BB36" s="81">
        <f t="shared" si="58"/>
        <v>0.81140000000000001</v>
      </c>
      <c r="BC36" s="81">
        <f t="shared" si="58"/>
        <v>0.94540000000000002</v>
      </c>
      <c r="BD36" s="81">
        <f t="shared" si="58"/>
        <v>1.1015999999999999</v>
      </c>
      <c r="BE36" s="81">
        <f t="shared" si="58"/>
        <v>1.2578</v>
      </c>
      <c r="BF36" s="103">
        <f t="shared" si="58"/>
        <v>1.4138999999999999</v>
      </c>
      <c r="BG36" s="166" t="str">
        <f t="shared" si="59"/>
        <v>F03_02</v>
      </c>
    </row>
    <row r="37" spans="2:59" s="58" customFormat="1" ht="13.5">
      <c r="B37" s="62" t="s">
        <v>95</v>
      </c>
      <c r="C37" s="60" t="s">
        <v>88</v>
      </c>
      <c r="D37" s="60" t="s">
        <v>88</v>
      </c>
      <c r="E37" s="60">
        <v>21</v>
      </c>
      <c r="F37" s="62">
        <v>4</v>
      </c>
      <c r="G37" s="167">
        <v>2</v>
      </c>
      <c r="H37" s="63"/>
      <c r="I37" s="64">
        <f t="shared" si="40"/>
        <v>4946185.6054266943</v>
      </c>
      <c r="J37" s="65">
        <v>6182732.0067833671</v>
      </c>
      <c r="K37" s="66">
        <f t="shared" si="41"/>
        <v>7419278.40814004</v>
      </c>
      <c r="L37" s="67">
        <f t="shared" si="60"/>
        <v>120000</v>
      </c>
      <c r="M37" s="64">
        <f t="shared" si="42"/>
        <v>269460</v>
      </c>
      <c r="N37" s="60">
        <f>ROUNDUP((J37-L37)/18,-1)</f>
        <v>336820</v>
      </c>
      <c r="O37" s="66">
        <f t="shared" si="44"/>
        <v>404190</v>
      </c>
      <c r="P37" s="64">
        <f t="shared" si="45"/>
        <v>4850280</v>
      </c>
      <c r="Q37" s="60">
        <f t="shared" si="45"/>
        <v>6062760</v>
      </c>
      <c r="R37" s="63">
        <f t="shared" si="45"/>
        <v>7275420</v>
      </c>
      <c r="S37" s="168">
        <v>0.06</v>
      </c>
      <c r="T37" s="60">
        <f t="shared" si="46"/>
        <v>194400</v>
      </c>
      <c r="U37" s="66">
        <f t="shared" si="47"/>
        <v>291600</v>
      </c>
      <c r="V37" s="168">
        <v>0.03</v>
      </c>
      <c r="W37" s="60">
        <f t="shared" si="48"/>
        <v>97200</v>
      </c>
      <c r="X37" s="66">
        <f t="shared" si="49"/>
        <v>146400</v>
      </c>
      <c r="Y37" s="169">
        <v>8.5000000000000006E-2</v>
      </c>
      <c r="Z37" s="170">
        <f t="shared" si="50"/>
        <v>5.9499999999999997E-2</v>
      </c>
      <c r="AA37" s="170"/>
      <c r="AB37" s="170"/>
      <c r="AC37" s="171">
        <f t="shared" si="61"/>
        <v>0.17849999999999999</v>
      </c>
      <c r="AD37" s="159">
        <f t="shared" si="51"/>
        <v>0.73299999999999998</v>
      </c>
      <c r="AE37" s="172">
        <f t="shared" si="52"/>
        <v>0.82199999999999995</v>
      </c>
      <c r="AF37" s="172">
        <f t="shared" si="53"/>
        <v>0.91100000000000003</v>
      </c>
      <c r="AG37" s="172">
        <v>1</v>
      </c>
      <c r="AH37" s="172">
        <f t="shared" si="54"/>
        <v>1.089</v>
      </c>
      <c r="AI37" s="173">
        <f t="shared" si="55"/>
        <v>1.179</v>
      </c>
      <c r="AJ37" s="75">
        <v>6</v>
      </c>
      <c r="AK37" s="162">
        <f t="shared" si="56"/>
        <v>4.3979999999999997</v>
      </c>
      <c r="AL37" s="174">
        <f t="shared" si="57"/>
        <v>4.9319999999999995</v>
      </c>
      <c r="AM37" s="174">
        <f t="shared" si="57"/>
        <v>5.4660000000000002</v>
      </c>
      <c r="AN37" s="174">
        <f t="shared" si="57"/>
        <v>6</v>
      </c>
      <c r="AO37" s="174">
        <f t="shared" si="57"/>
        <v>6.5339999999999998</v>
      </c>
      <c r="AP37" s="175">
        <f t="shared" si="57"/>
        <v>7.0739999999999998</v>
      </c>
      <c r="AQ37" s="165">
        <f t="shared" si="58"/>
        <v>-8.4199999999999997E-2</v>
      </c>
      <c r="AR37" s="80">
        <f t="shared" si="58"/>
        <v>-5.5399999999999998E-2</v>
      </c>
      <c r="AS37" s="80">
        <f t="shared" si="58"/>
        <v>-0.03</v>
      </c>
      <c r="AT37" s="80">
        <f t="shared" si="58"/>
        <v>-1.4999999999999999E-2</v>
      </c>
      <c r="AU37" s="80">
        <f t="shared" si="58"/>
        <v>0</v>
      </c>
      <c r="AV37" s="80">
        <f t="shared" si="58"/>
        <v>4.3700000000000003E-2</v>
      </c>
      <c r="AW37" s="80">
        <f t="shared" si="58"/>
        <v>9.0700000000000003E-2</v>
      </c>
      <c r="AX37" s="80">
        <f t="shared" si="58"/>
        <v>0.20619999999999999</v>
      </c>
      <c r="AY37" s="81">
        <f t="shared" si="58"/>
        <v>0.24610000000000001</v>
      </c>
      <c r="AZ37" s="81">
        <f t="shared" si="58"/>
        <v>0.37940000000000002</v>
      </c>
      <c r="BA37" s="81">
        <f t="shared" si="58"/>
        <v>0.60399999999999998</v>
      </c>
      <c r="BB37" s="81">
        <f t="shared" si="58"/>
        <v>0.72789999999999999</v>
      </c>
      <c r="BC37" s="81">
        <f t="shared" si="58"/>
        <v>0.85189999999999999</v>
      </c>
      <c r="BD37" s="81">
        <f t="shared" si="58"/>
        <v>0.99629999999999996</v>
      </c>
      <c r="BE37" s="81">
        <f t="shared" si="58"/>
        <v>1.1408</v>
      </c>
      <c r="BF37" s="103">
        <f t="shared" si="58"/>
        <v>1.2853000000000001</v>
      </c>
      <c r="BG37" s="166" t="str">
        <f t="shared" si="59"/>
        <v>F03_03</v>
      </c>
    </row>
    <row r="38" spans="2:59" s="58" customFormat="1" ht="13.5">
      <c r="B38" s="62" t="s">
        <v>96</v>
      </c>
      <c r="C38" s="60" t="s">
        <v>89</v>
      </c>
      <c r="D38" s="60" t="s">
        <v>89</v>
      </c>
      <c r="E38" s="60">
        <v>22</v>
      </c>
      <c r="F38" s="62">
        <v>4</v>
      </c>
      <c r="G38" s="167">
        <v>2</v>
      </c>
      <c r="H38" s="63"/>
      <c r="I38" s="64">
        <f t="shared" si="40"/>
        <v>5652800</v>
      </c>
      <c r="J38" s="65">
        <v>7066000</v>
      </c>
      <c r="K38" s="66">
        <f t="shared" si="41"/>
        <v>8479200</v>
      </c>
      <c r="L38" s="67">
        <f t="shared" si="60"/>
        <v>120000</v>
      </c>
      <c r="M38" s="64">
        <f t="shared" si="42"/>
        <v>308720</v>
      </c>
      <c r="N38" s="60">
        <f t="shared" si="43"/>
        <v>385890</v>
      </c>
      <c r="O38" s="66">
        <f t="shared" si="44"/>
        <v>463070</v>
      </c>
      <c r="P38" s="64">
        <f t="shared" si="45"/>
        <v>5556960</v>
      </c>
      <c r="Q38" s="60">
        <f t="shared" si="45"/>
        <v>6946020</v>
      </c>
      <c r="R38" s="63">
        <f t="shared" si="45"/>
        <v>8335260</v>
      </c>
      <c r="S38" s="168">
        <v>0.06</v>
      </c>
      <c r="T38" s="60">
        <f t="shared" si="46"/>
        <v>223200</v>
      </c>
      <c r="U38" s="66">
        <f t="shared" si="47"/>
        <v>333600</v>
      </c>
      <c r="V38" s="168">
        <v>0.03</v>
      </c>
      <c r="W38" s="60">
        <f t="shared" si="48"/>
        <v>111600</v>
      </c>
      <c r="X38" s="66">
        <f t="shared" si="49"/>
        <v>166800</v>
      </c>
      <c r="Y38" s="169">
        <v>0.1</v>
      </c>
      <c r="Z38" s="170">
        <f t="shared" si="50"/>
        <v>6.9999999999999993E-2</v>
      </c>
      <c r="AA38" s="170"/>
      <c r="AB38" s="170"/>
      <c r="AC38" s="171">
        <f t="shared" si="61"/>
        <v>0.20999999999999996</v>
      </c>
      <c r="AD38" s="177">
        <f t="shared" si="51"/>
        <v>0.68500000000000005</v>
      </c>
      <c r="AE38" s="172">
        <f t="shared" si="52"/>
        <v>0.79</v>
      </c>
      <c r="AF38" s="172">
        <f t="shared" si="53"/>
        <v>0.89500000000000002</v>
      </c>
      <c r="AG38" s="172">
        <v>1</v>
      </c>
      <c r="AH38" s="172">
        <f t="shared" si="54"/>
        <v>1.105</v>
      </c>
      <c r="AI38" s="173">
        <f t="shared" si="55"/>
        <v>1.21</v>
      </c>
      <c r="AJ38" s="75">
        <v>6</v>
      </c>
      <c r="AK38" s="162">
        <f t="shared" si="56"/>
        <v>4.1100000000000003</v>
      </c>
      <c r="AL38" s="174">
        <f t="shared" si="57"/>
        <v>4.74</v>
      </c>
      <c r="AM38" s="174">
        <f t="shared" si="57"/>
        <v>5.37</v>
      </c>
      <c r="AN38" s="174">
        <f t="shared" si="57"/>
        <v>6</v>
      </c>
      <c r="AO38" s="174">
        <f t="shared" si="57"/>
        <v>6.63</v>
      </c>
      <c r="AP38" s="175">
        <f t="shared" si="57"/>
        <v>7.26</v>
      </c>
      <c r="AQ38" s="165">
        <f t="shared" si="58"/>
        <v>-9.9000000000000005E-2</v>
      </c>
      <c r="AR38" s="80">
        <f t="shared" si="58"/>
        <v>-7.3800000000000004E-2</v>
      </c>
      <c r="AS38" s="80">
        <f t="shared" si="58"/>
        <v>-5.16E-2</v>
      </c>
      <c r="AT38" s="80">
        <f t="shared" si="58"/>
        <v>-3.85E-2</v>
      </c>
      <c r="AU38" s="80">
        <f t="shared" si="58"/>
        <v>-2.5399999999999999E-2</v>
      </c>
      <c r="AV38" s="80">
        <f t="shared" si="58"/>
        <v>0</v>
      </c>
      <c r="AW38" s="80">
        <f t="shared" si="58"/>
        <v>4.1000000000000002E-2</v>
      </c>
      <c r="AX38" s="80">
        <f t="shared" si="58"/>
        <v>0.1419</v>
      </c>
      <c r="AY38" s="81">
        <f t="shared" si="58"/>
        <v>0.17660000000000001</v>
      </c>
      <c r="AZ38" s="81">
        <f t="shared" si="58"/>
        <v>0.29299999999999998</v>
      </c>
      <c r="BA38" s="81">
        <f t="shared" si="58"/>
        <v>0.48899999999999999</v>
      </c>
      <c r="BB38" s="81">
        <f t="shared" si="58"/>
        <v>0.59719999999999995</v>
      </c>
      <c r="BC38" s="81">
        <f t="shared" si="58"/>
        <v>0.70540000000000003</v>
      </c>
      <c r="BD38" s="81">
        <f t="shared" si="58"/>
        <v>0.83150000000000002</v>
      </c>
      <c r="BE38" s="81">
        <f t="shared" si="58"/>
        <v>0.95760000000000001</v>
      </c>
      <c r="BF38" s="103">
        <f t="shared" si="58"/>
        <v>1.0837000000000001</v>
      </c>
      <c r="BG38" s="166" t="str">
        <f t="shared" si="59"/>
        <v>F04_03</v>
      </c>
    </row>
    <row r="39" spans="2:59" s="58" customFormat="1" ht="13.5">
      <c r="B39" s="178" t="s">
        <v>97</v>
      </c>
      <c r="C39" s="179" t="s">
        <v>90</v>
      </c>
      <c r="D39" s="179" t="s">
        <v>90</v>
      </c>
      <c r="E39" s="179">
        <v>23</v>
      </c>
      <c r="F39" s="178">
        <v>4</v>
      </c>
      <c r="G39" s="180">
        <v>2</v>
      </c>
      <c r="H39" s="181"/>
      <c r="I39" s="182">
        <f t="shared" si="40"/>
        <v>6412000</v>
      </c>
      <c r="J39" s="183">
        <v>8015000</v>
      </c>
      <c r="K39" s="184">
        <f t="shared" si="41"/>
        <v>9618000</v>
      </c>
      <c r="L39" s="185">
        <f t="shared" si="60"/>
        <v>120000</v>
      </c>
      <c r="M39" s="182">
        <f t="shared" si="42"/>
        <v>350900</v>
      </c>
      <c r="N39" s="179">
        <f t="shared" si="43"/>
        <v>438620</v>
      </c>
      <c r="O39" s="184">
        <f t="shared" si="44"/>
        <v>526350</v>
      </c>
      <c r="P39" s="182">
        <f t="shared" si="45"/>
        <v>6316200</v>
      </c>
      <c r="Q39" s="179">
        <f t="shared" si="45"/>
        <v>7895160</v>
      </c>
      <c r="R39" s="181">
        <f t="shared" si="45"/>
        <v>9474300</v>
      </c>
      <c r="S39" s="186">
        <v>0.06</v>
      </c>
      <c r="T39" s="179">
        <f t="shared" si="46"/>
        <v>253200</v>
      </c>
      <c r="U39" s="184">
        <f t="shared" si="47"/>
        <v>379200</v>
      </c>
      <c r="V39" s="186">
        <v>0.03</v>
      </c>
      <c r="W39" s="179">
        <f t="shared" si="48"/>
        <v>127200</v>
      </c>
      <c r="X39" s="184">
        <f t="shared" si="49"/>
        <v>189600</v>
      </c>
      <c r="Y39" s="187">
        <v>0.1</v>
      </c>
      <c r="Z39" s="170">
        <f t="shared" si="50"/>
        <v>6.9999999999999993E-2</v>
      </c>
      <c r="AA39" s="188"/>
      <c r="AB39" s="188"/>
      <c r="AC39" s="189">
        <f t="shared" si="61"/>
        <v>0.20999999999999996</v>
      </c>
      <c r="AD39" s="177">
        <f t="shared" si="51"/>
        <v>0.68500000000000005</v>
      </c>
      <c r="AE39" s="190">
        <f t="shared" si="52"/>
        <v>0.79</v>
      </c>
      <c r="AF39" s="190">
        <f t="shared" si="53"/>
        <v>0.89500000000000002</v>
      </c>
      <c r="AG39" s="190">
        <v>1</v>
      </c>
      <c r="AH39" s="190">
        <f t="shared" si="54"/>
        <v>1.105</v>
      </c>
      <c r="AI39" s="191">
        <f t="shared" si="55"/>
        <v>1.21</v>
      </c>
      <c r="AJ39" s="192">
        <v>6</v>
      </c>
      <c r="AK39" s="162">
        <f t="shared" si="56"/>
        <v>4.1100000000000003</v>
      </c>
      <c r="AL39" s="193">
        <f t="shared" si="57"/>
        <v>4.74</v>
      </c>
      <c r="AM39" s="193">
        <f t="shared" si="57"/>
        <v>5.37</v>
      </c>
      <c r="AN39" s="193">
        <f t="shared" si="57"/>
        <v>6</v>
      </c>
      <c r="AO39" s="193">
        <f t="shared" si="57"/>
        <v>6.63</v>
      </c>
      <c r="AP39" s="194">
        <f t="shared" si="57"/>
        <v>7.26</v>
      </c>
      <c r="AQ39" s="165">
        <f t="shared" si="58"/>
        <v>-0.1111</v>
      </c>
      <c r="AR39" s="80">
        <f t="shared" si="58"/>
        <v>-8.8999999999999996E-2</v>
      </c>
      <c r="AS39" s="80">
        <f t="shared" si="58"/>
        <v>-6.9500000000000006E-2</v>
      </c>
      <c r="AT39" s="80">
        <f t="shared" si="58"/>
        <v>-5.79E-2</v>
      </c>
      <c r="AU39" s="80">
        <f t="shared" si="58"/>
        <v>-4.6399999999999997E-2</v>
      </c>
      <c r="AV39" s="80">
        <f t="shared" si="58"/>
        <v>-2.4E-2</v>
      </c>
      <c r="AW39" s="80">
        <f t="shared" si="58"/>
        <v>0</v>
      </c>
      <c r="AX39" s="80">
        <f t="shared" si="58"/>
        <v>8.8700000000000001E-2</v>
      </c>
      <c r="AY39" s="81">
        <f t="shared" si="58"/>
        <v>0.1193</v>
      </c>
      <c r="AZ39" s="81">
        <f t="shared" si="58"/>
        <v>0.22170000000000001</v>
      </c>
      <c r="BA39" s="81">
        <f t="shared" si="58"/>
        <v>0.39419999999999999</v>
      </c>
      <c r="BB39" s="81">
        <f t="shared" si="58"/>
        <v>0.48930000000000001</v>
      </c>
      <c r="BC39" s="81">
        <f t="shared" si="58"/>
        <v>0.58450000000000002</v>
      </c>
      <c r="BD39" s="81">
        <f t="shared" si="58"/>
        <v>0.69550000000000001</v>
      </c>
      <c r="BE39" s="81">
        <f t="shared" si="58"/>
        <v>0.80640000000000001</v>
      </c>
      <c r="BF39" s="103">
        <f t="shared" si="58"/>
        <v>0.9173</v>
      </c>
      <c r="BG39" s="195" t="str">
        <f t="shared" si="59"/>
        <v>F04_04</v>
      </c>
    </row>
    <row r="40" spans="2:59" s="58" customFormat="1" ht="13.5">
      <c r="B40" s="178" t="s">
        <v>98</v>
      </c>
      <c r="C40" s="196"/>
      <c r="D40" s="84" t="s">
        <v>49</v>
      </c>
      <c r="E40" s="196"/>
      <c r="F40" s="196"/>
      <c r="G40" s="196"/>
      <c r="H40" s="197"/>
      <c r="I40" s="198">
        <f>I20</f>
        <v>8828206.8729544953</v>
      </c>
      <c r="J40" s="199">
        <f>J20</f>
        <v>10230481</v>
      </c>
      <c r="K40" s="200">
        <f>K20</f>
        <v>13242310.309431743</v>
      </c>
      <c r="L40" s="201"/>
      <c r="M40" s="202">
        <f t="shared" ref="M40:Z48" si="62">M20</f>
        <v>490460</v>
      </c>
      <c r="N40" s="203">
        <f t="shared" si="62"/>
        <v>568370</v>
      </c>
      <c r="O40" s="204">
        <f t="shared" si="62"/>
        <v>735690</v>
      </c>
      <c r="P40" s="205">
        <f t="shared" si="62"/>
        <v>8828280</v>
      </c>
      <c r="Q40" s="206">
        <f t="shared" si="62"/>
        <v>10230660</v>
      </c>
      <c r="R40" s="207">
        <f t="shared" si="62"/>
        <v>13242420</v>
      </c>
      <c r="S40" s="208">
        <f t="shared" si="62"/>
        <v>0.14000000000000001</v>
      </c>
      <c r="T40" s="179">
        <f t="shared" si="62"/>
        <v>824400</v>
      </c>
      <c r="U40" s="184">
        <f t="shared" si="62"/>
        <v>1236000</v>
      </c>
      <c r="V40" s="208">
        <f t="shared" si="62"/>
        <v>0.04</v>
      </c>
      <c r="W40" s="179">
        <f t="shared" si="62"/>
        <v>236400</v>
      </c>
      <c r="X40" s="184">
        <f t="shared" si="62"/>
        <v>354000</v>
      </c>
      <c r="Y40" s="209">
        <f t="shared" si="62"/>
        <v>0.16</v>
      </c>
      <c r="Z40" s="210">
        <f t="shared" si="62"/>
        <v>0.16</v>
      </c>
      <c r="AA40" s="210"/>
      <c r="AB40" s="210"/>
      <c r="AC40" s="211">
        <f t="shared" si="61"/>
        <v>0.48</v>
      </c>
      <c r="AD40" s="177">
        <f t="shared" si="51"/>
        <v>0.28000000000000003</v>
      </c>
      <c r="AE40" s="190">
        <f t="shared" si="52"/>
        <v>0.52</v>
      </c>
      <c r="AF40" s="190">
        <f t="shared" si="53"/>
        <v>0.76</v>
      </c>
      <c r="AG40" s="190">
        <v>1</v>
      </c>
      <c r="AH40" s="190">
        <f t="shared" si="54"/>
        <v>1.24</v>
      </c>
      <c r="AI40" s="191">
        <f t="shared" si="55"/>
        <v>1.48</v>
      </c>
      <c r="AJ40" s="192">
        <v>6</v>
      </c>
      <c r="AK40" s="162">
        <f t="shared" si="56"/>
        <v>1.6800000000000002</v>
      </c>
      <c r="AL40" s="212">
        <f>$AJ40*AE40</f>
        <v>3.12</v>
      </c>
      <c r="AM40" s="212">
        <f>$AJ40*AF40</f>
        <v>4.5600000000000005</v>
      </c>
      <c r="AN40" s="212">
        <f>$AJ40*AG40</f>
        <v>6</v>
      </c>
      <c r="AO40" s="212">
        <f>$AJ40*AH40</f>
        <v>7.4399999999999995</v>
      </c>
      <c r="AP40" s="213">
        <f>$AJ40*AI40</f>
        <v>8.879999999999999</v>
      </c>
      <c r="AQ40" s="165">
        <f t="shared" si="58"/>
        <v>-0.13139999999999999</v>
      </c>
      <c r="AR40" s="80">
        <f t="shared" si="58"/>
        <v>-0.1143</v>
      </c>
      <c r="AS40" s="80">
        <f t="shared" si="58"/>
        <v>-9.9299999999999999E-2</v>
      </c>
      <c r="AT40" s="80">
        <f t="shared" si="58"/>
        <v>-9.0399999999999994E-2</v>
      </c>
      <c r="AU40" s="80">
        <f t="shared" si="58"/>
        <v>-8.1500000000000003E-2</v>
      </c>
      <c r="AV40" s="80">
        <f t="shared" si="58"/>
        <v>-6.4199999999999993E-2</v>
      </c>
      <c r="AW40" s="80">
        <f t="shared" si="58"/>
        <v>-4.5699999999999998E-2</v>
      </c>
      <c r="AX40" s="80">
        <f t="shared" si="58"/>
        <v>0</v>
      </c>
      <c r="AY40" s="81">
        <f t="shared" si="58"/>
        <v>2.3599999999999999E-2</v>
      </c>
      <c r="AZ40" s="81">
        <f t="shared" si="58"/>
        <v>0.1026</v>
      </c>
      <c r="BA40" s="81">
        <f t="shared" si="58"/>
        <v>0.23569999999999999</v>
      </c>
      <c r="BB40" s="81">
        <f t="shared" si="58"/>
        <v>0.30919999999999997</v>
      </c>
      <c r="BC40" s="81">
        <f t="shared" si="58"/>
        <v>0.3826</v>
      </c>
      <c r="BD40" s="81">
        <f t="shared" si="58"/>
        <v>0.46820000000000001</v>
      </c>
      <c r="BE40" s="81">
        <f t="shared" si="58"/>
        <v>0.55379999999999996</v>
      </c>
      <c r="BF40" s="103">
        <f t="shared" si="58"/>
        <v>0.63939999999999997</v>
      </c>
      <c r="BG40" s="166" t="str">
        <f t="shared" si="59"/>
        <v>F05</v>
      </c>
    </row>
    <row r="41" spans="2:59" s="58" customFormat="1" ht="13.5">
      <c r="B41" s="214" t="s">
        <v>70</v>
      </c>
      <c r="C41" s="215"/>
      <c r="D41" s="214" t="s">
        <v>71</v>
      </c>
      <c r="E41" s="216"/>
      <c r="F41" s="217"/>
      <c r="G41" s="218"/>
      <c r="H41" s="219"/>
      <c r="I41" s="220">
        <f t="shared" ref="I41:K48" si="63">I21</f>
        <v>8828206.8729544953</v>
      </c>
      <c r="J41" s="221">
        <f t="shared" si="63"/>
        <v>11035258.591193119</v>
      </c>
      <c r="K41" s="222">
        <f t="shared" si="63"/>
        <v>13242310.309431743</v>
      </c>
      <c r="L41" s="223"/>
      <c r="M41" s="224">
        <f t="shared" si="62"/>
        <v>490460</v>
      </c>
      <c r="N41" s="221">
        <f t="shared" si="62"/>
        <v>613070</v>
      </c>
      <c r="O41" s="225">
        <f t="shared" si="62"/>
        <v>735690</v>
      </c>
      <c r="P41" s="224">
        <f t="shared" si="62"/>
        <v>8828280</v>
      </c>
      <c r="Q41" s="221">
        <f t="shared" si="62"/>
        <v>11035260</v>
      </c>
      <c r="R41" s="226">
        <f t="shared" si="62"/>
        <v>13242420</v>
      </c>
      <c r="S41" s="227"/>
      <c r="T41" s="218"/>
      <c r="U41" s="228"/>
      <c r="V41" s="227"/>
      <c r="W41" s="218"/>
      <c r="X41" s="228"/>
      <c r="Y41" s="229"/>
      <c r="Z41" s="218"/>
      <c r="AA41" s="218"/>
      <c r="AB41" s="218"/>
      <c r="AC41" s="230"/>
      <c r="AD41" s="227"/>
      <c r="AE41" s="218"/>
      <c r="AF41" s="218"/>
      <c r="AG41" s="218"/>
      <c r="AH41" s="218"/>
      <c r="AI41" s="228"/>
      <c r="AJ41" s="231"/>
      <c r="AK41" s="227"/>
      <c r="AL41" s="218"/>
      <c r="AM41" s="218"/>
      <c r="AN41" s="218"/>
      <c r="AO41" s="218"/>
      <c r="AP41" s="228"/>
      <c r="AQ41" s="232">
        <f t="shared" si="58"/>
        <v>-0.13639999999999999</v>
      </c>
      <c r="AR41" s="81">
        <f t="shared" si="58"/>
        <v>-0.1206</v>
      </c>
      <c r="AS41" s="81">
        <f t="shared" si="58"/>
        <v>-0.1066</v>
      </c>
      <c r="AT41" s="81">
        <f t="shared" si="58"/>
        <v>-9.8400000000000001E-2</v>
      </c>
      <c r="AU41" s="81">
        <f t="shared" si="58"/>
        <v>-9.01E-2</v>
      </c>
      <c r="AV41" s="81">
        <f t="shared" si="58"/>
        <v>-7.4099999999999999E-2</v>
      </c>
      <c r="AW41" s="81">
        <f t="shared" si="58"/>
        <v>-5.6899999999999999E-2</v>
      </c>
      <c r="AX41" s="81">
        <f t="shared" si="58"/>
        <v>-1.46E-2</v>
      </c>
      <c r="AY41" s="81">
        <f t="shared" si="58"/>
        <v>0</v>
      </c>
      <c r="AZ41" s="81">
        <f t="shared" si="58"/>
        <v>7.3200000000000001E-2</v>
      </c>
      <c r="BA41" s="81">
        <f t="shared" si="58"/>
        <v>0.1966</v>
      </c>
      <c r="BB41" s="81">
        <f t="shared" si="58"/>
        <v>0.26469999999999999</v>
      </c>
      <c r="BC41" s="81">
        <f t="shared" si="58"/>
        <v>0.33279999999999998</v>
      </c>
      <c r="BD41" s="81">
        <f t="shared" si="58"/>
        <v>0.41220000000000001</v>
      </c>
      <c r="BE41" s="81">
        <f t="shared" si="58"/>
        <v>0.49159999999999998</v>
      </c>
      <c r="BF41" s="103">
        <f t="shared" si="58"/>
        <v>0.57089999999999996</v>
      </c>
    </row>
    <row r="42" spans="2:59" s="58" customFormat="1" ht="13.5">
      <c r="B42" s="214" t="s">
        <v>72</v>
      </c>
      <c r="C42" s="215"/>
      <c r="D42" s="214" t="s">
        <v>51</v>
      </c>
      <c r="E42" s="216"/>
      <c r="F42" s="217"/>
      <c r="G42" s="218"/>
      <c r="H42" s="219"/>
      <c r="I42" s="220">
        <f t="shared" si="63"/>
        <v>10983723.173853045</v>
      </c>
      <c r="J42" s="221">
        <f t="shared" si="63"/>
        <v>13729653.967316305</v>
      </c>
      <c r="K42" s="222">
        <f t="shared" si="63"/>
        <v>16475584.760779565</v>
      </c>
      <c r="L42" s="223"/>
      <c r="M42" s="224">
        <f t="shared" si="62"/>
        <v>610210</v>
      </c>
      <c r="N42" s="221">
        <f t="shared" si="62"/>
        <v>762760</v>
      </c>
      <c r="O42" s="225">
        <f t="shared" si="62"/>
        <v>915320</v>
      </c>
      <c r="P42" s="224">
        <f t="shared" si="62"/>
        <v>10983780</v>
      </c>
      <c r="Q42" s="221">
        <f t="shared" si="62"/>
        <v>13729680</v>
      </c>
      <c r="R42" s="226">
        <f t="shared" si="62"/>
        <v>16475760</v>
      </c>
      <c r="S42" s="227"/>
      <c r="T42" s="218"/>
      <c r="U42" s="228"/>
      <c r="V42" s="227"/>
      <c r="W42" s="218"/>
      <c r="X42" s="228"/>
      <c r="Y42" s="229"/>
      <c r="Z42" s="218"/>
      <c r="AA42" s="218"/>
      <c r="AB42" s="218"/>
      <c r="AC42" s="230"/>
      <c r="AD42" s="227"/>
      <c r="AE42" s="218"/>
      <c r="AF42" s="218"/>
      <c r="AG42" s="218"/>
      <c r="AH42" s="218"/>
      <c r="AI42" s="228"/>
      <c r="AJ42" s="231"/>
      <c r="AK42" s="227"/>
      <c r="AL42" s="218"/>
      <c r="AM42" s="218"/>
      <c r="AN42" s="218"/>
      <c r="AO42" s="218"/>
      <c r="AP42" s="228"/>
      <c r="AQ42" s="232">
        <f t="shared" si="58"/>
        <v>-0.1489</v>
      </c>
      <c r="AR42" s="81">
        <f t="shared" si="58"/>
        <v>-0.13619999999999999</v>
      </c>
      <c r="AS42" s="81">
        <f t="shared" si="58"/>
        <v>-0.1249</v>
      </c>
      <c r="AT42" s="81">
        <f t="shared" si="58"/>
        <v>-0.1183</v>
      </c>
      <c r="AU42" s="81">
        <f t="shared" si="58"/>
        <v>-0.11169999999999999</v>
      </c>
      <c r="AV42" s="81">
        <f t="shared" si="58"/>
        <v>-9.8799999999999999E-2</v>
      </c>
      <c r="AW42" s="81">
        <f t="shared" si="58"/>
        <v>-8.5000000000000006E-2</v>
      </c>
      <c r="AX42" s="81">
        <f t="shared" si="58"/>
        <v>-5.0999999999999997E-2</v>
      </c>
      <c r="AY42" s="81">
        <f t="shared" si="58"/>
        <v>-3.9199999999999999E-2</v>
      </c>
      <c r="AZ42" s="81">
        <f t="shared" si="58"/>
        <v>0</v>
      </c>
      <c r="BA42" s="81">
        <f t="shared" si="58"/>
        <v>9.9199999999999997E-2</v>
      </c>
      <c r="BB42" s="81">
        <f t="shared" si="58"/>
        <v>0.15390000000000001</v>
      </c>
      <c r="BC42" s="81">
        <f t="shared" si="58"/>
        <v>0.20860000000000001</v>
      </c>
      <c r="BD42" s="81">
        <f t="shared" si="58"/>
        <v>0.27239999999999998</v>
      </c>
      <c r="BE42" s="81">
        <f t="shared" si="58"/>
        <v>0.3362</v>
      </c>
      <c r="BF42" s="103">
        <f t="shared" si="58"/>
        <v>0.4</v>
      </c>
    </row>
    <row r="43" spans="2:59" s="58" customFormat="1" ht="13.5">
      <c r="B43" s="214" t="s">
        <v>73</v>
      </c>
      <c r="C43" s="215"/>
      <c r="D43" s="214" t="s">
        <v>52</v>
      </c>
      <c r="E43" s="216"/>
      <c r="F43" s="217"/>
      <c r="G43" s="218"/>
      <c r="H43" s="219"/>
      <c r="I43" s="220">
        <f t="shared" si="63"/>
        <v>14614727.51260734</v>
      </c>
      <c r="J43" s="221">
        <f t="shared" si="63"/>
        <v>18268409.390759174</v>
      </c>
      <c r="K43" s="222">
        <f t="shared" si="63"/>
        <v>21922091.268911008</v>
      </c>
      <c r="L43" s="223"/>
      <c r="M43" s="224">
        <f t="shared" si="62"/>
        <v>811940</v>
      </c>
      <c r="N43" s="221">
        <f t="shared" si="62"/>
        <v>1014920</v>
      </c>
      <c r="O43" s="225">
        <f t="shared" si="62"/>
        <v>1217910</v>
      </c>
      <c r="P43" s="224">
        <f t="shared" si="62"/>
        <v>14614920</v>
      </c>
      <c r="Q43" s="221">
        <f t="shared" si="62"/>
        <v>18268560</v>
      </c>
      <c r="R43" s="226">
        <f t="shared" si="62"/>
        <v>21922380</v>
      </c>
      <c r="S43" s="227"/>
      <c r="T43" s="218"/>
      <c r="U43" s="228"/>
      <c r="V43" s="227"/>
      <c r="W43" s="218"/>
      <c r="X43" s="228"/>
      <c r="Y43" s="229"/>
      <c r="Z43" s="218"/>
      <c r="AA43" s="218"/>
      <c r="AB43" s="218"/>
      <c r="AC43" s="230"/>
      <c r="AD43" s="227"/>
      <c r="AE43" s="218"/>
      <c r="AF43" s="218"/>
      <c r="AG43" s="218"/>
      <c r="AH43" s="218"/>
      <c r="AI43" s="228"/>
      <c r="AJ43" s="231"/>
      <c r="AK43" s="227"/>
      <c r="AL43" s="218"/>
      <c r="AM43" s="218"/>
      <c r="AN43" s="218"/>
      <c r="AO43" s="218"/>
      <c r="AP43" s="228"/>
      <c r="AQ43" s="232">
        <f t="shared" si="58"/>
        <v>-0.16159999999999999</v>
      </c>
      <c r="AR43" s="81">
        <f t="shared" si="58"/>
        <v>-0.152</v>
      </c>
      <c r="AS43" s="81">
        <f t="shared" si="58"/>
        <v>-0.14360000000000001</v>
      </c>
      <c r="AT43" s="81">
        <f t="shared" si="58"/>
        <v>-0.1386</v>
      </c>
      <c r="AU43" s="81">
        <f t="shared" si="58"/>
        <v>-0.1336</v>
      </c>
      <c r="AV43" s="81">
        <f t="shared" si="58"/>
        <v>-0.124</v>
      </c>
      <c r="AW43" s="81">
        <f t="shared" si="58"/>
        <v>-0.11360000000000001</v>
      </c>
      <c r="AX43" s="81">
        <f t="shared" si="58"/>
        <v>-8.7999999999999995E-2</v>
      </c>
      <c r="AY43" s="81">
        <f t="shared" si="58"/>
        <v>-7.9200000000000007E-2</v>
      </c>
      <c r="AZ43" s="81">
        <f t="shared" si="58"/>
        <v>-4.9700000000000001E-2</v>
      </c>
      <c r="BA43" s="81">
        <f t="shared" si="58"/>
        <v>0</v>
      </c>
      <c r="BB43" s="81">
        <f t="shared" si="58"/>
        <v>4.1099999999999998E-2</v>
      </c>
      <c r="BC43" s="81">
        <f t="shared" si="58"/>
        <v>8.2299999999999998E-2</v>
      </c>
      <c r="BD43" s="81">
        <f t="shared" si="58"/>
        <v>0.13020000000000001</v>
      </c>
      <c r="BE43" s="81">
        <f t="shared" si="58"/>
        <v>0.1782</v>
      </c>
      <c r="BF43" s="103">
        <f t="shared" si="58"/>
        <v>0.2261</v>
      </c>
    </row>
    <row r="44" spans="2:59" s="58" customFormat="1" ht="13.5">
      <c r="B44" s="214"/>
      <c r="C44" s="215"/>
      <c r="D44" s="214" t="s">
        <v>53</v>
      </c>
      <c r="E44" s="216"/>
      <c r="F44" s="217"/>
      <c r="G44" s="218"/>
      <c r="H44" s="219"/>
      <c r="I44" s="220">
        <f t="shared" si="63"/>
        <v>16618632.209446423</v>
      </c>
      <c r="J44" s="221">
        <f t="shared" si="63"/>
        <v>20773290.261808027</v>
      </c>
      <c r="K44" s="222">
        <f t="shared" si="63"/>
        <v>24927948.31416963</v>
      </c>
      <c r="L44" s="223"/>
      <c r="M44" s="224">
        <f t="shared" si="62"/>
        <v>923270</v>
      </c>
      <c r="N44" s="221">
        <f t="shared" si="62"/>
        <v>1154080</v>
      </c>
      <c r="O44" s="225">
        <f t="shared" si="62"/>
        <v>1384900</v>
      </c>
      <c r="P44" s="224">
        <f t="shared" si="62"/>
        <v>16618860</v>
      </c>
      <c r="Q44" s="221">
        <f t="shared" si="62"/>
        <v>20773440</v>
      </c>
      <c r="R44" s="226">
        <f t="shared" si="62"/>
        <v>24928200</v>
      </c>
      <c r="S44" s="227"/>
      <c r="T44" s="218"/>
      <c r="U44" s="228"/>
      <c r="V44" s="227"/>
      <c r="W44" s="218"/>
      <c r="X44" s="228"/>
      <c r="Y44" s="229"/>
      <c r="Z44" s="218"/>
      <c r="AA44" s="218"/>
      <c r="AB44" s="218"/>
      <c r="AC44" s="230"/>
      <c r="AD44" s="227"/>
      <c r="AE44" s="218"/>
      <c r="AF44" s="218"/>
      <c r="AG44" s="218"/>
      <c r="AH44" s="218"/>
      <c r="AI44" s="228"/>
      <c r="AJ44" s="231"/>
      <c r="AK44" s="227"/>
      <c r="AL44" s="218"/>
      <c r="AM44" s="218"/>
      <c r="AN44" s="218"/>
      <c r="AO44" s="218"/>
      <c r="AP44" s="228"/>
      <c r="AQ44" s="232">
        <f t="shared" si="58"/>
        <v>-0.16619999999999999</v>
      </c>
      <c r="AR44" s="81">
        <f t="shared" si="58"/>
        <v>-0.1578</v>
      </c>
      <c r="AS44" s="81">
        <f t="shared" si="58"/>
        <v>-0.15040000000000001</v>
      </c>
      <c r="AT44" s="81">
        <f t="shared" si="58"/>
        <v>-0.14599999999999999</v>
      </c>
      <c r="AU44" s="81">
        <f t="shared" si="58"/>
        <v>-0.1416</v>
      </c>
      <c r="AV44" s="81">
        <f t="shared" si="58"/>
        <v>-0.1331</v>
      </c>
      <c r="AW44" s="81">
        <f t="shared" si="58"/>
        <v>-0.124</v>
      </c>
      <c r="AX44" s="81">
        <f t="shared" si="58"/>
        <v>-0.10150000000000001</v>
      </c>
      <c r="AY44" s="81">
        <f t="shared" si="58"/>
        <v>-9.3799999999999994E-2</v>
      </c>
      <c r="AZ44" s="81">
        <f t="shared" si="58"/>
        <v>-6.7799999999999999E-2</v>
      </c>
      <c r="BA44" s="81">
        <f t="shared" si="58"/>
        <v>-2.41E-2</v>
      </c>
      <c r="BB44" s="81">
        <f t="shared" si="58"/>
        <v>0</v>
      </c>
      <c r="BC44" s="81">
        <f t="shared" si="58"/>
        <v>3.6200000000000003E-2</v>
      </c>
      <c r="BD44" s="81">
        <f t="shared" si="58"/>
        <v>7.8299999999999995E-2</v>
      </c>
      <c r="BE44" s="81">
        <f t="shared" si="58"/>
        <v>0.1205</v>
      </c>
      <c r="BF44" s="103">
        <f t="shared" si="58"/>
        <v>0.16270000000000001</v>
      </c>
    </row>
    <row r="45" spans="2:59" s="58" customFormat="1" ht="13.5">
      <c r="B45" s="214" t="s">
        <v>74</v>
      </c>
      <c r="C45" s="215"/>
      <c r="D45" s="214" t="s">
        <v>54</v>
      </c>
      <c r="E45" s="216"/>
      <c r="F45" s="217"/>
      <c r="G45" s="218"/>
      <c r="H45" s="219"/>
      <c r="I45" s="220">
        <f t="shared" si="63"/>
        <v>18622536.906285506</v>
      </c>
      <c r="J45" s="221">
        <f t="shared" si="63"/>
        <v>23278171.132856879</v>
      </c>
      <c r="K45" s="222">
        <f t="shared" si="63"/>
        <v>27933805.359428253</v>
      </c>
      <c r="L45" s="223"/>
      <c r="M45" s="224">
        <f t="shared" si="62"/>
        <v>1034600</v>
      </c>
      <c r="N45" s="221">
        <f t="shared" si="62"/>
        <v>1293240</v>
      </c>
      <c r="O45" s="225">
        <f t="shared" si="62"/>
        <v>1551890</v>
      </c>
      <c r="P45" s="224">
        <f t="shared" si="62"/>
        <v>18622800</v>
      </c>
      <c r="Q45" s="221">
        <f t="shared" si="62"/>
        <v>23278320</v>
      </c>
      <c r="R45" s="226">
        <f t="shared" si="62"/>
        <v>27934020</v>
      </c>
      <c r="S45" s="227"/>
      <c r="T45" s="218"/>
      <c r="U45" s="228"/>
      <c r="V45" s="227"/>
      <c r="W45" s="218"/>
      <c r="X45" s="228"/>
      <c r="Y45" s="229"/>
      <c r="Z45" s="218"/>
      <c r="AA45" s="218"/>
      <c r="AB45" s="218"/>
      <c r="AC45" s="230"/>
      <c r="AD45" s="227"/>
      <c r="AE45" s="218"/>
      <c r="AF45" s="218"/>
      <c r="AG45" s="218"/>
      <c r="AH45" s="218"/>
      <c r="AI45" s="228"/>
      <c r="AJ45" s="231"/>
      <c r="AK45" s="227"/>
      <c r="AL45" s="218"/>
      <c r="AM45" s="218"/>
      <c r="AN45" s="218"/>
      <c r="AO45" s="218"/>
      <c r="AP45" s="228"/>
      <c r="AQ45" s="232">
        <f t="shared" si="58"/>
        <v>-0.1699</v>
      </c>
      <c r="AR45" s="81">
        <f t="shared" si="58"/>
        <v>-0.1623</v>
      </c>
      <c r="AS45" s="81">
        <f t="shared" si="58"/>
        <v>-0.15570000000000001</v>
      </c>
      <c r="AT45" s="81">
        <f t="shared" si="58"/>
        <v>-0.15179999999999999</v>
      </c>
      <c r="AU45" s="81">
        <f t="shared" si="58"/>
        <v>-0.1479</v>
      </c>
      <c r="AV45" s="81">
        <f t="shared" si="58"/>
        <v>-0.14030000000000001</v>
      </c>
      <c r="AW45" s="81">
        <f t="shared" si="58"/>
        <v>-0.13220000000000001</v>
      </c>
      <c r="AX45" s="81">
        <f t="shared" si="58"/>
        <v>-0.11210000000000001</v>
      </c>
      <c r="AY45" s="81">
        <f t="shared" si="58"/>
        <v>-0.1052</v>
      </c>
      <c r="AZ45" s="81">
        <f t="shared" si="58"/>
        <v>-8.2000000000000003E-2</v>
      </c>
      <c r="BA45" s="81">
        <f t="shared" si="58"/>
        <v>-4.2999999999999997E-2</v>
      </c>
      <c r="BB45" s="81">
        <f t="shared" si="58"/>
        <v>-2.1499999999999998E-2</v>
      </c>
      <c r="BC45" s="81">
        <f t="shared" si="58"/>
        <v>0</v>
      </c>
      <c r="BD45" s="81">
        <f t="shared" si="58"/>
        <v>3.7600000000000001E-2</v>
      </c>
      <c r="BE45" s="81">
        <f t="shared" si="58"/>
        <v>7.5300000000000006E-2</v>
      </c>
      <c r="BF45" s="103">
        <f t="shared" si="58"/>
        <v>0.1129</v>
      </c>
    </row>
    <row r="46" spans="2:59" s="58" customFormat="1" ht="13.5">
      <c r="B46" s="214"/>
      <c r="C46" s="215"/>
      <c r="D46" s="214" t="s">
        <v>55</v>
      </c>
      <c r="E46" s="216"/>
      <c r="F46" s="217"/>
      <c r="G46" s="218"/>
      <c r="H46" s="219"/>
      <c r="I46" s="220">
        <f t="shared" si="63"/>
        <v>20958158.783036232</v>
      </c>
      <c r="J46" s="221">
        <f t="shared" si="63"/>
        <v>26197698.478795283</v>
      </c>
      <c r="K46" s="222">
        <f t="shared" si="63"/>
        <v>31437238.174554341</v>
      </c>
      <c r="L46" s="231"/>
      <c r="M46" s="224">
        <f t="shared" si="62"/>
        <v>1164350</v>
      </c>
      <c r="N46" s="221">
        <f t="shared" si="62"/>
        <v>1455430</v>
      </c>
      <c r="O46" s="225">
        <f t="shared" si="62"/>
        <v>1746520</v>
      </c>
      <c r="P46" s="224">
        <f t="shared" si="62"/>
        <v>20958300</v>
      </c>
      <c r="Q46" s="221">
        <f t="shared" si="62"/>
        <v>26197740</v>
      </c>
      <c r="R46" s="226">
        <f t="shared" si="62"/>
        <v>31437360</v>
      </c>
      <c r="S46" s="227"/>
      <c r="T46" s="218"/>
      <c r="U46" s="228"/>
      <c r="V46" s="227"/>
      <c r="W46" s="218"/>
      <c r="X46" s="228"/>
      <c r="Y46" s="229"/>
      <c r="Z46" s="218"/>
      <c r="AA46" s="218"/>
      <c r="AB46" s="218"/>
      <c r="AC46" s="230"/>
      <c r="AD46" s="227"/>
      <c r="AE46" s="218"/>
      <c r="AF46" s="218"/>
      <c r="AG46" s="218"/>
      <c r="AH46" s="218"/>
      <c r="AI46" s="228"/>
      <c r="AJ46" s="231"/>
      <c r="AK46" s="227"/>
      <c r="AL46" s="218"/>
      <c r="AM46" s="218"/>
      <c r="AN46" s="218"/>
      <c r="AO46" s="218"/>
      <c r="AP46" s="228"/>
      <c r="AQ46" s="232">
        <f t="shared" si="58"/>
        <v>-0.17319999999999999</v>
      </c>
      <c r="AR46" s="81">
        <f t="shared" si="58"/>
        <v>-0.16650000000000001</v>
      </c>
      <c r="AS46" s="81">
        <f t="shared" si="58"/>
        <v>-0.16070000000000001</v>
      </c>
      <c r="AT46" s="81">
        <f t="shared" si="58"/>
        <v>-0.15720000000000001</v>
      </c>
      <c r="AU46" s="81">
        <f t="shared" si="58"/>
        <v>-0.1537</v>
      </c>
      <c r="AV46" s="81">
        <f t="shared" si="58"/>
        <v>-0.14699999999999999</v>
      </c>
      <c r="AW46" s="81">
        <f t="shared" si="58"/>
        <v>-0.13969999999999999</v>
      </c>
      <c r="AX46" s="81">
        <f t="shared" si="58"/>
        <v>-0.12189999999999999</v>
      </c>
      <c r="AY46" s="81">
        <f t="shared" si="58"/>
        <v>-0.1158</v>
      </c>
      <c r="AZ46" s="81">
        <f t="shared" si="58"/>
        <v>-9.5200000000000007E-2</v>
      </c>
      <c r="BA46" s="81">
        <f t="shared" si="58"/>
        <v>-6.0499999999999998E-2</v>
      </c>
      <c r="BB46" s="81">
        <f t="shared" si="58"/>
        <v>-4.1399999999999999E-2</v>
      </c>
      <c r="BC46" s="81">
        <f t="shared" si="58"/>
        <v>-2.23E-2</v>
      </c>
      <c r="BD46" s="81">
        <f t="shared" si="58"/>
        <v>0</v>
      </c>
      <c r="BE46" s="81">
        <f t="shared" si="58"/>
        <v>3.3399999999999999E-2</v>
      </c>
      <c r="BF46" s="103">
        <f t="shared" si="58"/>
        <v>6.6900000000000001E-2</v>
      </c>
    </row>
    <row r="47" spans="2:59" s="58" customFormat="1" ht="13.5">
      <c r="B47" s="214" t="s">
        <v>75</v>
      </c>
      <c r="C47" s="215"/>
      <c r="D47" s="214" t="s">
        <v>56</v>
      </c>
      <c r="E47" s="216"/>
      <c r="F47" s="216"/>
      <c r="G47" s="216"/>
      <c r="H47" s="219"/>
      <c r="I47" s="220">
        <f t="shared" si="63"/>
        <v>23293780.659786955</v>
      </c>
      <c r="J47" s="233">
        <f t="shared" si="63"/>
        <v>29117225.824733689</v>
      </c>
      <c r="K47" s="222">
        <f t="shared" si="63"/>
        <v>34940670.989680424</v>
      </c>
      <c r="L47" s="234"/>
      <c r="M47" s="220">
        <f t="shared" si="62"/>
        <v>1294110</v>
      </c>
      <c r="N47" s="233">
        <f t="shared" si="62"/>
        <v>1617630</v>
      </c>
      <c r="O47" s="225">
        <f t="shared" si="62"/>
        <v>1941160</v>
      </c>
      <c r="P47" s="224">
        <f t="shared" si="62"/>
        <v>23293980</v>
      </c>
      <c r="Q47" s="221">
        <f t="shared" si="62"/>
        <v>29117340</v>
      </c>
      <c r="R47" s="226">
        <f t="shared" si="62"/>
        <v>34940880</v>
      </c>
      <c r="S47" s="227"/>
      <c r="T47" s="218"/>
      <c r="U47" s="228"/>
      <c r="V47" s="227"/>
      <c r="W47" s="218"/>
      <c r="X47" s="228"/>
      <c r="Y47" s="229"/>
      <c r="Z47" s="218"/>
      <c r="AA47" s="218"/>
      <c r="AB47" s="218"/>
      <c r="AC47" s="230"/>
      <c r="AD47" s="227"/>
      <c r="AE47" s="218"/>
      <c r="AF47" s="218"/>
      <c r="AG47" s="218"/>
      <c r="AH47" s="218"/>
      <c r="AI47" s="228"/>
      <c r="AJ47" s="231"/>
      <c r="AK47" s="227"/>
      <c r="AL47" s="218"/>
      <c r="AM47" s="218"/>
      <c r="AN47" s="218"/>
      <c r="AO47" s="218"/>
      <c r="AP47" s="228"/>
      <c r="AQ47" s="232">
        <f t="shared" si="58"/>
        <v>-0.1759</v>
      </c>
      <c r="AR47" s="81">
        <f t="shared" si="58"/>
        <v>-0.1699</v>
      </c>
      <c r="AS47" s="81">
        <f t="shared" si="58"/>
        <v>-0.1646</v>
      </c>
      <c r="AT47" s="81">
        <f t="shared" si="58"/>
        <v>-0.1615</v>
      </c>
      <c r="AU47" s="81">
        <f t="shared" si="58"/>
        <v>-0.15840000000000001</v>
      </c>
      <c r="AV47" s="81">
        <f t="shared" si="58"/>
        <v>-0.15229999999999999</v>
      </c>
      <c r="AW47" s="81">
        <f t="shared" si="58"/>
        <v>-0.14580000000000001</v>
      </c>
      <c r="AX47" s="81">
        <f t="shared" si="58"/>
        <v>-0.12970000000000001</v>
      </c>
      <c r="AY47" s="81">
        <f t="shared" si="58"/>
        <v>-0.1242</v>
      </c>
      <c r="AZ47" s="81">
        <f t="shared" si="58"/>
        <v>-0.1057</v>
      </c>
      <c r="BA47" s="81">
        <f t="shared" si="58"/>
        <v>-7.4499999999999997E-2</v>
      </c>
      <c r="BB47" s="81">
        <f t="shared" si="58"/>
        <v>-5.7299999999999997E-2</v>
      </c>
      <c r="BC47" s="81">
        <f t="shared" si="58"/>
        <v>-4.0099999999999997E-2</v>
      </c>
      <c r="BD47" s="81">
        <f t="shared" si="58"/>
        <v>-2.01E-2</v>
      </c>
      <c r="BE47" s="81">
        <f t="shared" si="58"/>
        <v>0</v>
      </c>
      <c r="BF47" s="103">
        <f t="shared" si="58"/>
        <v>3.0099999999999998E-2</v>
      </c>
    </row>
    <row r="48" spans="2:59" s="58" customFormat="1" ht="14" thickBot="1">
      <c r="B48" s="214"/>
      <c r="C48" s="215"/>
      <c r="D48" s="214" t="s">
        <v>76</v>
      </c>
      <c r="E48" s="216"/>
      <c r="F48" s="216"/>
      <c r="G48" s="216"/>
      <c r="H48" s="219"/>
      <c r="I48" s="235">
        <f t="shared" si="63"/>
        <v>25629402.536537677</v>
      </c>
      <c r="J48" s="236">
        <f t="shared" si="63"/>
        <v>32036753.170672096</v>
      </c>
      <c r="K48" s="237">
        <f t="shared" si="63"/>
        <v>38444103.804806516</v>
      </c>
      <c r="L48" s="234"/>
      <c r="M48" s="235">
        <f t="shared" si="62"/>
        <v>1423860</v>
      </c>
      <c r="N48" s="236">
        <f t="shared" si="62"/>
        <v>1779820</v>
      </c>
      <c r="O48" s="238">
        <f t="shared" si="62"/>
        <v>2135790</v>
      </c>
      <c r="P48" s="239">
        <f t="shared" si="62"/>
        <v>25629480</v>
      </c>
      <c r="Q48" s="240">
        <f t="shared" si="62"/>
        <v>32036760</v>
      </c>
      <c r="R48" s="241">
        <f t="shared" si="62"/>
        <v>38444220</v>
      </c>
      <c r="S48" s="242"/>
      <c r="T48" s="243"/>
      <c r="U48" s="244"/>
      <c r="V48" s="242"/>
      <c r="W48" s="243"/>
      <c r="X48" s="244"/>
      <c r="Y48" s="229"/>
      <c r="Z48" s="218"/>
      <c r="AA48" s="218"/>
      <c r="AB48" s="218"/>
      <c r="AC48" s="230"/>
      <c r="AD48" s="242"/>
      <c r="AE48" s="243"/>
      <c r="AF48" s="243"/>
      <c r="AG48" s="243"/>
      <c r="AH48" s="243"/>
      <c r="AI48" s="244"/>
      <c r="AJ48" s="231"/>
      <c r="AK48" s="242"/>
      <c r="AL48" s="243"/>
      <c r="AM48" s="243"/>
      <c r="AN48" s="243"/>
      <c r="AO48" s="243"/>
      <c r="AP48" s="244"/>
      <c r="AQ48" s="245">
        <f t="shared" si="58"/>
        <v>-0.17810000000000001</v>
      </c>
      <c r="AR48" s="121">
        <f t="shared" si="58"/>
        <v>-0.1726</v>
      </c>
      <c r="AS48" s="121">
        <f t="shared" si="58"/>
        <v>-0.1678</v>
      </c>
      <c r="AT48" s="121">
        <f t="shared" si="58"/>
        <v>-0.16500000000000001</v>
      </c>
      <c r="AU48" s="121">
        <f t="shared" si="58"/>
        <v>-0.16220000000000001</v>
      </c>
      <c r="AV48" s="121">
        <f t="shared" si="58"/>
        <v>-0.15659999999999999</v>
      </c>
      <c r="AW48" s="121">
        <f t="shared" si="58"/>
        <v>-0.1507</v>
      </c>
      <c r="AX48" s="121">
        <f t="shared" si="58"/>
        <v>-0.1361</v>
      </c>
      <c r="AY48" s="121">
        <f t="shared" si="58"/>
        <v>-0.13109999999999999</v>
      </c>
      <c r="AZ48" s="121">
        <f t="shared" si="58"/>
        <v>-0.1143</v>
      </c>
      <c r="BA48" s="121">
        <f t="shared" si="58"/>
        <v>-8.5999999999999993E-2</v>
      </c>
      <c r="BB48" s="121">
        <f t="shared" si="58"/>
        <v>-7.0300000000000001E-2</v>
      </c>
      <c r="BC48" s="121">
        <f t="shared" si="58"/>
        <v>-5.4699999999999999E-2</v>
      </c>
      <c r="BD48" s="121">
        <f t="shared" si="58"/>
        <v>-3.6499999999999998E-2</v>
      </c>
      <c r="BE48" s="121">
        <f t="shared" si="58"/>
        <v>-1.8200000000000001E-2</v>
      </c>
      <c r="BF48" s="246">
        <f t="shared" ref="BF48" si="64">IF(BF$30&gt;$Q48,ROUND((BF$30-$Q48)/$Q48*$AP$4,4),ROUND((BF$30-$Q48)/$Q48*$AQ$4,4))</f>
        <v>0</v>
      </c>
    </row>
    <row r="49" spans="2:61" s="1" customFormat="1" ht="13.5">
      <c r="B49" s="247"/>
      <c r="C49" s="247"/>
      <c r="D49" s="247"/>
      <c r="E49" s="247"/>
      <c r="F49" s="247"/>
      <c r="G49" s="247"/>
      <c r="H49" s="247"/>
      <c r="I49" s="247"/>
      <c r="J49" s="247"/>
      <c r="K49" s="247"/>
      <c r="L49" s="247"/>
      <c r="M49" s="247"/>
      <c r="N49" s="247"/>
    </row>
    <row r="50" spans="2:61" s="1" customFormat="1" ht="13.5">
      <c r="B50" s="247"/>
      <c r="C50" s="247"/>
      <c r="D50" s="247"/>
      <c r="E50" s="247"/>
      <c r="F50" s="247"/>
      <c r="G50" s="247"/>
      <c r="H50" s="247"/>
      <c r="I50" s="247"/>
      <c r="J50" s="247"/>
      <c r="K50" s="247"/>
      <c r="L50" s="247"/>
      <c r="M50" s="247"/>
      <c r="N50" s="247"/>
    </row>
    <row r="51" spans="2:61" s="1" customFormat="1" ht="13.5" hidden="1" outlineLevel="1">
      <c r="B51" s="248" t="s">
        <v>99</v>
      </c>
      <c r="C51" s="249"/>
      <c r="D51" s="249"/>
      <c r="E51" s="249"/>
      <c r="F51" s="249"/>
      <c r="G51" s="249"/>
      <c r="H51" s="249"/>
      <c r="I51" s="250"/>
      <c r="J51" s="251"/>
      <c r="K51" s="252"/>
      <c r="L51" s="253"/>
      <c r="M51" s="250"/>
      <c r="N51" s="251"/>
      <c r="O51" s="252"/>
      <c r="P51" s="250"/>
      <c r="Q51" s="251"/>
      <c r="R51" s="252"/>
      <c r="S51" s="254"/>
      <c r="T51" s="255"/>
      <c r="U51" s="255"/>
      <c r="V51" s="254"/>
      <c r="W51" s="255"/>
      <c r="X51" s="256"/>
      <c r="Y51" s="257"/>
      <c r="Z51" s="257"/>
      <c r="AA51" s="257"/>
      <c r="AB51" s="257"/>
      <c r="AC51" s="257"/>
      <c r="AD51" s="257"/>
      <c r="AE51" s="257"/>
      <c r="AF51" s="257"/>
      <c r="AG51" s="257"/>
      <c r="AH51" s="257"/>
      <c r="AI51" s="257"/>
      <c r="AJ51" s="257"/>
      <c r="AK51" s="257"/>
      <c r="AL51" s="257"/>
      <c r="AM51" s="257"/>
      <c r="AN51" s="257"/>
      <c r="AO51" s="257"/>
      <c r="AP51" s="257"/>
      <c r="AQ51" s="258" t="s">
        <v>20</v>
      </c>
      <c r="AR51" s="259"/>
      <c r="AS51" s="259"/>
      <c r="AT51" s="259"/>
      <c r="AU51" s="259"/>
      <c r="AV51" s="259"/>
      <c r="AW51" s="259"/>
      <c r="AX51" s="259"/>
      <c r="AY51" s="259"/>
      <c r="AZ51" s="259"/>
      <c r="BA51" s="259"/>
      <c r="BB51" s="259"/>
      <c r="BC51" s="259"/>
      <c r="BD51" s="260"/>
    </row>
    <row r="52" spans="2:61" s="33" customFormat="1" ht="14" hidden="1" outlineLevel="1" thickBot="1">
      <c r="B52" s="261" t="s">
        <v>21</v>
      </c>
      <c r="C52" s="261" t="s">
        <v>22</v>
      </c>
      <c r="D52" s="261"/>
      <c r="E52" s="261" t="s">
        <v>23</v>
      </c>
      <c r="F52" s="262" t="s">
        <v>24</v>
      </c>
      <c r="G52" s="262" t="s">
        <v>25</v>
      </c>
      <c r="H52" s="263" t="s">
        <v>26</v>
      </c>
      <c r="I52" s="264"/>
      <c r="J52" s="265"/>
      <c r="K52" s="266"/>
      <c r="L52" s="267"/>
      <c r="M52" s="264"/>
      <c r="N52" s="265"/>
      <c r="O52" s="266"/>
      <c r="P52" s="264"/>
      <c r="Q52" s="265"/>
      <c r="R52" s="268"/>
      <c r="S52" s="264"/>
      <c r="T52" s="265"/>
      <c r="U52" s="268"/>
      <c r="V52" s="264"/>
      <c r="W52" s="265"/>
      <c r="X52" s="266"/>
      <c r="Y52" s="269" t="s">
        <v>32</v>
      </c>
      <c r="Z52" s="265" t="s">
        <v>33</v>
      </c>
      <c r="AA52" s="265" t="s">
        <v>34</v>
      </c>
      <c r="AB52" s="265" t="s">
        <v>35</v>
      </c>
      <c r="AC52" s="268" t="s">
        <v>36</v>
      </c>
      <c r="AD52" s="270"/>
      <c r="AE52" s="264" t="s">
        <v>38</v>
      </c>
      <c r="AF52" s="265" t="s">
        <v>39</v>
      </c>
      <c r="AG52" s="265" t="s">
        <v>40</v>
      </c>
      <c r="AH52" s="265" t="s">
        <v>41</v>
      </c>
      <c r="AI52" s="266" t="s">
        <v>100</v>
      </c>
      <c r="AJ52" s="270" t="s">
        <v>43</v>
      </c>
      <c r="AK52" s="270"/>
      <c r="AL52" s="264" t="s">
        <v>38</v>
      </c>
      <c r="AM52" s="265" t="s">
        <v>39</v>
      </c>
      <c r="AN52" s="265" t="s">
        <v>40</v>
      </c>
      <c r="AO52" s="265" t="s">
        <v>41</v>
      </c>
      <c r="AP52" s="266" t="s">
        <v>42</v>
      </c>
      <c r="AQ52" s="271" t="s">
        <v>101</v>
      </c>
      <c r="AR52" s="261" t="s">
        <v>102</v>
      </c>
      <c r="AS52" s="261" t="s">
        <v>103</v>
      </c>
      <c r="AT52" s="261" t="s">
        <v>47</v>
      </c>
      <c r="AU52" s="261" t="s">
        <v>48</v>
      </c>
      <c r="AV52" s="272" t="s">
        <v>49</v>
      </c>
      <c r="AW52" s="261" t="s">
        <v>50</v>
      </c>
      <c r="AX52" s="261" t="s">
        <v>51</v>
      </c>
      <c r="AY52" s="261" t="s">
        <v>52</v>
      </c>
      <c r="AZ52" s="261" t="s">
        <v>53</v>
      </c>
      <c r="BA52" s="261" t="s">
        <v>54</v>
      </c>
      <c r="BB52" s="261" t="s">
        <v>55</v>
      </c>
      <c r="BC52" s="261" t="s">
        <v>56</v>
      </c>
      <c r="BD52" s="273" t="s">
        <v>57</v>
      </c>
    </row>
    <row r="53" spans="2:61" s="58" customFormat="1" ht="14.5" hidden="1" customHeight="1" outlineLevel="1">
      <c r="B53" s="60" t="s">
        <v>70</v>
      </c>
      <c r="C53" s="60" t="s">
        <v>71</v>
      </c>
      <c r="D53" s="61">
        <v>12</v>
      </c>
      <c r="E53" s="61">
        <v>6</v>
      </c>
      <c r="F53" s="62">
        <v>1</v>
      </c>
      <c r="G53" s="62">
        <v>1</v>
      </c>
      <c r="H53" s="63"/>
      <c r="I53" s="274"/>
      <c r="J53" s="275"/>
      <c r="K53" s="276"/>
      <c r="L53" s="277"/>
      <c r="M53" s="274"/>
      <c r="N53" s="278"/>
      <c r="O53" s="276"/>
      <c r="P53" s="279"/>
      <c r="Q53" s="280"/>
      <c r="R53" s="281"/>
      <c r="S53" s="282"/>
      <c r="T53" s="278"/>
      <c r="U53" s="283"/>
      <c r="V53" s="282"/>
      <c r="W53" s="278"/>
      <c r="X53" s="276"/>
      <c r="Y53" s="284">
        <v>0.16</v>
      </c>
      <c r="Z53" s="285">
        <v>0.16</v>
      </c>
      <c r="AA53" s="285">
        <f t="shared" ref="AA53:AA59" si="65">1-0.67-Z53</f>
        <v>0.16999999999999996</v>
      </c>
      <c r="AB53" s="285">
        <v>0.67</v>
      </c>
      <c r="AC53" s="286">
        <f t="shared" ref="AC53:AC55" si="66">18*Z53/6</f>
        <v>0.48</v>
      </c>
      <c r="AD53" s="287"/>
      <c r="AE53" s="288">
        <f t="shared" ref="AE53:AE60" si="67">ROUND(AG53-AC53,3)</f>
        <v>0.52</v>
      </c>
      <c r="AF53" s="289">
        <f t="shared" ref="AF53:AF60" si="68">ROUND(AG53-AC53/2,3)</f>
        <v>0.76</v>
      </c>
      <c r="AG53" s="289">
        <v>1</v>
      </c>
      <c r="AH53" s="289">
        <f t="shared" ref="AH53:AH60" si="69">ROUND(AG53+AC53/2,3)</f>
        <v>1.24</v>
      </c>
      <c r="AI53" s="290">
        <f t="shared" ref="AI53:AI60" si="70">ROUND(AC53+AG53,3)</f>
        <v>1.48</v>
      </c>
      <c r="AJ53" s="291">
        <f t="shared" ref="AJ53:AJ59" si="71">$AJ$10</f>
        <v>6</v>
      </c>
      <c r="AK53" s="291"/>
      <c r="AL53" s="292">
        <f t="shared" ref="AL53:AP55" si="72">$AJ53*AE53</f>
        <v>3.12</v>
      </c>
      <c r="AM53" s="293">
        <f t="shared" si="72"/>
        <v>4.5600000000000005</v>
      </c>
      <c r="AN53" s="293">
        <f t="shared" si="72"/>
        <v>6</v>
      </c>
      <c r="AO53" s="293">
        <f t="shared" si="72"/>
        <v>7.4399999999999995</v>
      </c>
      <c r="AP53" s="294">
        <f t="shared" si="72"/>
        <v>8.879999999999999</v>
      </c>
      <c r="AQ53" s="79">
        <v>0</v>
      </c>
      <c r="AR53" s="80">
        <v>0</v>
      </c>
      <c r="AS53" s="80">
        <v>0</v>
      </c>
      <c r="AT53" s="80">
        <v>0</v>
      </c>
      <c r="AU53" s="80">
        <v>0</v>
      </c>
      <c r="AV53" s="81">
        <v>0</v>
      </c>
      <c r="AW53" s="80">
        <v>0</v>
      </c>
      <c r="AX53" s="80">
        <v>0</v>
      </c>
      <c r="AY53" s="80">
        <v>0</v>
      </c>
      <c r="AZ53" s="80">
        <v>0</v>
      </c>
      <c r="BA53" s="80">
        <v>0</v>
      </c>
      <c r="BB53" s="80">
        <v>0</v>
      </c>
      <c r="BC53" s="80">
        <v>0</v>
      </c>
      <c r="BD53" s="82">
        <v>0</v>
      </c>
      <c r="BE53" s="57" t="s">
        <v>50</v>
      </c>
      <c r="BG53" s="59"/>
      <c r="BH53" s="59"/>
      <c r="BI53" s="59"/>
    </row>
    <row r="54" spans="2:61" s="58" customFormat="1" ht="14.15" hidden="1" customHeight="1" outlineLevel="1">
      <c r="B54" s="60" t="s">
        <v>72</v>
      </c>
      <c r="C54" s="60" t="s">
        <v>51</v>
      </c>
      <c r="D54" s="61">
        <v>13</v>
      </c>
      <c r="E54" s="61">
        <v>7</v>
      </c>
      <c r="F54" s="62">
        <v>1</v>
      </c>
      <c r="G54" s="62">
        <v>1</v>
      </c>
      <c r="H54" s="63"/>
      <c r="I54" s="274"/>
      <c r="J54" s="280"/>
      <c r="K54" s="276"/>
      <c r="L54" s="277"/>
      <c r="M54" s="274"/>
      <c r="N54" s="278"/>
      <c r="O54" s="276"/>
      <c r="P54" s="279"/>
      <c r="Q54" s="280"/>
      <c r="R54" s="281"/>
      <c r="S54" s="282"/>
      <c r="T54" s="278"/>
      <c r="U54" s="283"/>
      <c r="V54" s="282"/>
      <c r="W54" s="278"/>
      <c r="X54" s="276"/>
      <c r="Y54" s="284">
        <v>0.18</v>
      </c>
      <c r="Z54" s="285">
        <v>0.18</v>
      </c>
      <c r="AA54" s="285">
        <f t="shared" si="65"/>
        <v>0.14999999999999997</v>
      </c>
      <c r="AB54" s="285">
        <v>0.67</v>
      </c>
      <c r="AC54" s="286">
        <f t="shared" si="66"/>
        <v>0.53999999999999992</v>
      </c>
      <c r="AD54" s="287"/>
      <c r="AE54" s="288">
        <f t="shared" si="67"/>
        <v>0.46</v>
      </c>
      <c r="AF54" s="289">
        <f t="shared" si="68"/>
        <v>0.73</v>
      </c>
      <c r="AG54" s="289">
        <v>1</v>
      </c>
      <c r="AH54" s="289">
        <f t="shared" si="69"/>
        <v>1.27</v>
      </c>
      <c r="AI54" s="290">
        <f t="shared" si="70"/>
        <v>1.54</v>
      </c>
      <c r="AJ54" s="291">
        <f t="shared" si="71"/>
        <v>6</v>
      </c>
      <c r="AK54" s="291"/>
      <c r="AL54" s="292">
        <f t="shared" si="72"/>
        <v>2.7600000000000002</v>
      </c>
      <c r="AM54" s="293">
        <f t="shared" si="72"/>
        <v>4.38</v>
      </c>
      <c r="AN54" s="293">
        <f t="shared" si="72"/>
        <v>6</v>
      </c>
      <c r="AO54" s="293">
        <f t="shared" si="72"/>
        <v>7.62</v>
      </c>
      <c r="AP54" s="294">
        <f t="shared" si="72"/>
        <v>9.24</v>
      </c>
      <c r="AQ54" s="79">
        <v>0</v>
      </c>
      <c r="AR54" s="80">
        <v>0</v>
      </c>
      <c r="AS54" s="80">
        <v>0</v>
      </c>
      <c r="AT54" s="80">
        <v>0</v>
      </c>
      <c r="AU54" s="80">
        <v>0</v>
      </c>
      <c r="AV54" s="81">
        <v>0</v>
      </c>
      <c r="AW54" s="80">
        <v>0</v>
      </c>
      <c r="AX54" s="80">
        <v>0</v>
      </c>
      <c r="AY54" s="80">
        <v>0</v>
      </c>
      <c r="AZ54" s="80">
        <v>0</v>
      </c>
      <c r="BA54" s="80">
        <v>0</v>
      </c>
      <c r="BB54" s="80">
        <v>0</v>
      </c>
      <c r="BC54" s="80">
        <v>0</v>
      </c>
      <c r="BD54" s="82">
        <v>0</v>
      </c>
      <c r="BE54" s="57" t="s">
        <v>51</v>
      </c>
      <c r="BG54" s="59"/>
      <c r="BH54" s="59"/>
      <c r="BI54" s="59"/>
    </row>
    <row r="55" spans="2:61" s="58" customFormat="1" ht="14.15" hidden="1" customHeight="1" outlineLevel="1">
      <c r="B55" s="60" t="s">
        <v>73</v>
      </c>
      <c r="C55" s="60" t="s">
        <v>52</v>
      </c>
      <c r="D55" s="61">
        <v>14</v>
      </c>
      <c r="E55" s="61">
        <v>8</v>
      </c>
      <c r="F55" s="62">
        <v>1</v>
      </c>
      <c r="G55" s="62">
        <v>1</v>
      </c>
      <c r="H55" s="63"/>
      <c r="I55" s="274"/>
      <c r="J55" s="280"/>
      <c r="K55" s="276"/>
      <c r="L55" s="277"/>
      <c r="M55" s="274"/>
      <c r="N55" s="278"/>
      <c r="O55" s="276"/>
      <c r="P55" s="279"/>
      <c r="Q55" s="280"/>
      <c r="R55" s="281"/>
      <c r="S55" s="282"/>
      <c r="T55" s="278"/>
      <c r="U55" s="283"/>
      <c r="V55" s="282"/>
      <c r="W55" s="278"/>
      <c r="X55" s="276"/>
      <c r="Y55" s="284">
        <v>0.2</v>
      </c>
      <c r="Z55" s="285">
        <v>0.2</v>
      </c>
      <c r="AA55" s="285">
        <f t="shared" si="65"/>
        <v>0.12999999999999995</v>
      </c>
      <c r="AB55" s="285">
        <v>0.67</v>
      </c>
      <c r="AC55" s="286">
        <f t="shared" si="66"/>
        <v>0.6</v>
      </c>
      <c r="AD55" s="287"/>
      <c r="AE55" s="288">
        <f t="shared" si="67"/>
        <v>0.4</v>
      </c>
      <c r="AF55" s="289">
        <f t="shared" si="68"/>
        <v>0.7</v>
      </c>
      <c r="AG55" s="289">
        <v>1</v>
      </c>
      <c r="AH55" s="289">
        <f t="shared" si="69"/>
        <v>1.3</v>
      </c>
      <c r="AI55" s="290">
        <f t="shared" si="70"/>
        <v>1.6</v>
      </c>
      <c r="AJ55" s="291">
        <f t="shared" si="71"/>
        <v>6</v>
      </c>
      <c r="AK55" s="291"/>
      <c r="AL55" s="292">
        <f t="shared" si="72"/>
        <v>2.4000000000000004</v>
      </c>
      <c r="AM55" s="293">
        <f t="shared" si="72"/>
        <v>4.1999999999999993</v>
      </c>
      <c r="AN55" s="293">
        <f t="shared" si="72"/>
        <v>6</v>
      </c>
      <c r="AO55" s="293">
        <f t="shared" si="72"/>
        <v>7.8000000000000007</v>
      </c>
      <c r="AP55" s="294">
        <f t="shared" si="72"/>
        <v>9.6000000000000014</v>
      </c>
      <c r="AQ55" s="79">
        <v>0</v>
      </c>
      <c r="AR55" s="80">
        <v>0</v>
      </c>
      <c r="AS55" s="80">
        <v>0</v>
      </c>
      <c r="AT55" s="80">
        <v>0</v>
      </c>
      <c r="AU55" s="80">
        <v>0</v>
      </c>
      <c r="AV55" s="81">
        <v>0</v>
      </c>
      <c r="AW55" s="80">
        <v>0</v>
      </c>
      <c r="AX55" s="80">
        <v>0</v>
      </c>
      <c r="AY55" s="80">
        <v>0</v>
      </c>
      <c r="AZ55" s="80">
        <v>0</v>
      </c>
      <c r="BA55" s="80">
        <v>0</v>
      </c>
      <c r="BB55" s="80">
        <v>0</v>
      </c>
      <c r="BC55" s="80">
        <v>0</v>
      </c>
      <c r="BD55" s="82">
        <v>0</v>
      </c>
      <c r="BE55" s="57" t="s">
        <v>52</v>
      </c>
      <c r="BG55" s="59"/>
      <c r="BH55" s="59"/>
      <c r="BI55" s="59"/>
    </row>
    <row r="56" spans="2:61" s="58" customFormat="1" ht="14.15" hidden="1" customHeight="1" outlineLevel="1">
      <c r="B56" s="60"/>
      <c r="C56" s="60" t="s">
        <v>53</v>
      </c>
      <c r="D56" s="61">
        <v>15</v>
      </c>
      <c r="E56" s="61">
        <v>8.5</v>
      </c>
      <c r="F56" s="62"/>
      <c r="G56" s="62"/>
      <c r="H56" s="63"/>
      <c r="I56" s="279"/>
      <c r="J56" s="280"/>
      <c r="K56" s="295"/>
      <c r="L56" s="277"/>
      <c r="M56" s="274"/>
      <c r="N56" s="278"/>
      <c r="O56" s="276"/>
      <c r="P56" s="279"/>
      <c r="Q56" s="280"/>
      <c r="R56" s="281"/>
      <c r="S56" s="282"/>
      <c r="T56" s="278"/>
      <c r="U56" s="283"/>
      <c r="V56" s="282"/>
      <c r="W56" s="278"/>
      <c r="X56" s="276"/>
      <c r="Y56" s="284">
        <f t="shared" ref="Y56:Z56" si="73">(Y55+Y57)/2</f>
        <v>0.21000000000000002</v>
      </c>
      <c r="Z56" s="285">
        <f t="shared" si="73"/>
        <v>0.21000000000000002</v>
      </c>
      <c r="AA56" s="285">
        <f t="shared" si="65"/>
        <v>0.11999999999999994</v>
      </c>
      <c r="AB56" s="285">
        <v>0.67</v>
      </c>
      <c r="AC56" s="286">
        <f t="shared" ref="AC56" si="74">(AC55+AC57)/2</f>
        <v>0.63</v>
      </c>
      <c r="AD56" s="287"/>
      <c r="AE56" s="288">
        <f t="shared" si="67"/>
        <v>0.37</v>
      </c>
      <c r="AF56" s="289">
        <f t="shared" si="68"/>
        <v>0.68500000000000005</v>
      </c>
      <c r="AG56" s="289">
        <v>1</v>
      </c>
      <c r="AH56" s="289">
        <f t="shared" si="69"/>
        <v>1.3149999999999999</v>
      </c>
      <c r="AI56" s="290">
        <f t="shared" si="70"/>
        <v>1.63</v>
      </c>
      <c r="AJ56" s="291">
        <f t="shared" si="71"/>
        <v>6</v>
      </c>
      <c r="AK56" s="291"/>
      <c r="AL56" s="292">
        <f t="shared" ref="AL56:AP56" si="75">(AL55+AL57)/2</f>
        <v>2.2200000000000002</v>
      </c>
      <c r="AM56" s="293">
        <f t="shared" si="75"/>
        <v>4.1099999999999994</v>
      </c>
      <c r="AN56" s="293">
        <f t="shared" si="75"/>
        <v>6</v>
      </c>
      <c r="AO56" s="293">
        <f t="shared" si="75"/>
        <v>7.8900000000000006</v>
      </c>
      <c r="AP56" s="294">
        <f t="shared" si="75"/>
        <v>9.7800000000000011</v>
      </c>
      <c r="AQ56" s="79">
        <v>0</v>
      </c>
      <c r="AR56" s="80">
        <v>0</v>
      </c>
      <c r="AS56" s="80">
        <v>0</v>
      </c>
      <c r="AT56" s="80">
        <v>0</v>
      </c>
      <c r="AU56" s="80">
        <v>0</v>
      </c>
      <c r="AV56" s="81">
        <v>0</v>
      </c>
      <c r="AW56" s="80">
        <v>0</v>
      </c>
      <c r="AX56" s="80">
        <v>0</v>
      </c>
      <c r="AY56" s="80">
        <v>0</v>
      </c>
      <c r="AZ56" s="80">
        <v>0</v>
      </c>
      <c r="BA56" s="80">
        <v>0</v>
      </c>
      <c r="BB56" s="80">
        <v>0</v>
      </c>
      <c r="BC56" s="80">
        <v>0</v>
      </c>
      <c r="BD56" s="82">
        <v>0</v>
      </c>
      <c r="BE56" s="57" t="s">
        <v>53</v>
      </c>
      <c r="BG56" s="59"/>
      <c r="BH56" s="59"/>
      <c r="BI56" s="59"/>
    </row>
    <row r="57" spans="2:61" s="58" customFormat="1" ht="14.15" hidden="1" customHeight="1" outlineLevel="1">
      <c r="B57" s="60" t="s">
        <v>74</v>
      </c>
      <c r="C57" s="60" t="s">
        <v>54</v>
      </c>
      <c r="D57" s="61">
        <v>16</v>
      </c>
      <c r="E57" s="61">
        <v>9</v>
      </c>
      <c r="F57" s="62">
        <v>1</v>
      </c>
      <c r="G57" s="62">
        <v>1</v>
      </c>
      <c r="H57" s="63"/>
      <c r="I57" s="274"/>
      <c r="J57" s="280"/>
      <c r="K57" s="276"/>
      <c r="L57" s="277"/>
      <c r="M57" s="274"/>
      <c r="N57" s="278"/>
      <c r="O57" s="276"/>
      <c r="P57" s="279"/>
      <c r="Q57" s="280"/>
      <c r="R57" s="281"/>
      <c r="S57" s="282"/>
      <c r="T57" s="278"/>
      <c r="U57" s="276"/>
      <c r="V57" s="282"/>
      <c r="W57" s="278"/>
      <c r="X57" s="276"/>
      <c r="Y57" s="284">
        <v>0.22</v>
      </c>
      <c r="Z57" s="285">
        <v>0.22</v>
      </c>
      <c r="AA57" s="285">
        <f t="shared" si="65"/>
        <v>0.10999999999999996</v>
      </c>
      <c r="AB57" s="285">
        <v>0.67</v>
      </c>
      <c r="AC57" s="286">
        <f t="shared" ref="AC57" si="76">18*Z57/6</f>
        <v>0.66</v>
      </c>
      <c r="AD57" s="287"/>
      <c r="AE57" s="288">
        <f t="shared" si="67"/>
        <v>0.34</v>
      </c>
      <c r="AF57" s="289">
        <f t="shared" si="68"/>
        <v>0.67</v>
      </c>
      <c r="AG57" s="289">
        <v>1</v>
      </c>
      <c r="AH57" s="289">
        <f t="shared" si="69"/>
        <v>1.33</v>
      </c>
      <c r="AI57" s="290">
        <f t="shared" si="70"/>
        <v>1.66</v>
      </c>
      <c r="AJ57" s="291">
        <f t="shared" si="71"/>
        <v>6</v>
      </c>
      <c r="AK57" s="291"/>
      <c r="AL57" s="292">
        <f>$AJ57*AE57</f>
        <v>2.04</v>
      </c>
      <c r="AM57" s="293">
        <f>$AJ57*AF57</f>
        <v>4.0200000000000005</v>
      </c>
      <c r="AN57" s="293">
        <f>$AJ57*AG57</f>
        <v>6</v>
      </c>
      <c r="AO57" s="293">
        <f>$AJ57*AH57</f>
        <v>7.98</v>
      </c>
      <c r="AP57" s="294">
        <f>$AJ57*AI57</f>
        <v>9.9599999999999991</v>
      </c>
      <c r="AQ57" s="79">
        <v>0</v>
      </c>
      <c r="AR57" s="80">
        <v>0</v>
      </c>
      <c r="AS57" s="80">
        <v>0</v>
      </c>
      <c r="AT57" s="80">
        <v>0</v>
      </c>
      <c r="AU57" s="80">
        <v>0</v>
      </c>
      <c r="AV57" s="81">
        <v>0</v>
      </c>
      <c r="AW57" s="80">
        <v>0</v>
      </c>
      <c r="AX57" s="80">
        <v>0</v>
      </c>
      <c r="AY57" s="80">
        <v>0</v>
      </c>
      <c r="AZ57" s="80">
        <v>0</v>
      </c>
      <c r="BA57" s="80">
        <v>0</v>
      </c>
      <c r="BB57" s="80">
        <v>0</v>
      </c>
      <c r="BC57" s="80">
        <v>0</v>
      </c>
      <c r="BD57" s="82">
        <v>0</v>
      </c>
      <c r="BE57" s="57" t="s">
        <v>54</v>
      </c>
      <c r="BG57" s="59"/>
      <c r="BH57" s="83"/>
      <c r="BI57" s="83"/>
    </row>
    <row r="58" spans="2:61" s="58" customFormat="1" ht="14.15" hidden="1" customHeight="1" outlineLevel="1">
      <c r="B58" s="60"/>
      <c r="C58" s="60" t="s">
        <v>55</v>
      </c>
      <c r="D58" s="61">
        <v>17</v>
      </c>
      <c r="E58" s="61">
        <v>9.5</v>
      </c>
      <c r="F58" s="62"/>
      <c r="G58" s="62"/>
      <c r="H58" s="63"/>
      <c r="I58" s="279"/>
      <c r="J58" s="280"/>
      <c r="K58" s="295"/>
      <c r="L58" s="277"/>
      <c r="M58" s="274"/>
      <c r="N58" s="278"/>
      <c r="O58" s="276"/>
      <c r="P58" s="279"/>
      <c r="Q58" s="280"/>
      <c r="R58" s="281"/>
      <c r="S58" s="282"/>
      <c r="T58" s="278"/>
      <c r="U58" s="276"/>
      <c r="V58" s="282"/>
      <c r="W58" s="278"/>
      <c r="X58" s="276"/>
      <c r="Y58" s="284">
        <f t="shared" ref="Y58:Z58" si="77">(Y57+Y59)/2</f>
        <v>0.22999999999999998</v>
      </c>
      <c r="Z58" s="285">
        <f t="shared" si="77"/>
        <v>0.22999999999999998</v>
      </c>
      <c r="AA58" s="285">
        <f t="shared" si="65"/>
        <v>9.9999999999999978E-2</v>
      </c>
      <c r="AB58" s="285">
        <v>0.67</v>
      </c>
      <c r="AC58" s="286">
        <f t="shared" ref="AC58" si="78">(AC57+AC59)/2</f>
        <v>0.69000000000000006</v>
      </c>
      <c r="AD58" s="287"/>
      <c r="AE58" s="288">
        <f t="shared" si="67"/>
        <v>0.31</v>
      </c>
      <c r="AF58" s="289">
        <f t="shared" si="68"/>
        <v>0.65500000000000003</v>
      </c>
      <c r="AG58" s="289">
        <v>1</v>
      </c>
      <c r="AH58" s="289">
        <f t="shared" si="69"/>
        <v>1.345</v>
      </c>
      <c r="AI58" s="290">
        <f t="shared" si="70"/>
        <v>1.69</v>
      </c>
      <c r="AJ58" s="291">
        <f t="shared" si="71"/>
        <v>6</v>
      </c>
      <c r="AK58" s="291"/>
      <c r="AL58" s="292">
        <f t="shared" ref="AL58:AP58" si="79">(AL57+AL59)/2</f>
        <v>1.86</v>
      </c>
      <c r="AM58" s="293">
        <f t="shared" si="79"/>
        <v>3.93</v>
      </c>
      <c r="AN58" s="293">
        <f t="shared" si="79"/>
        <v>6</v>
      </c>
      <c r="AO58" s="293">
        <f t="shared" si="79"/>
        <v>8.07</v>
      </c>
      <c r="AP58" s="294">
        <f t="shared" si="79"/>
        <v>10.14</v>
      </c>
      <c r="AQ58" s="79">
        <v>0</v>
      </c>
      <c r="AR58" s="80">
        <v>0</v>
      </c>
      <c r="AS58" s="80">
        <v>0</v>
      </c>
      <c r="AT58" s="80">
        <v>0</v>
      </c>
      <c r="AU58" s="80">
        <v>0</v>
      </c>
      <c r="AV58" s="81">
        <v>0</v>
      </c>
      <c r="AW58" s="80">
        <v>0</v>
      </c>
      <c r="AX58" s="80">
        <v>0</v>
      </c>
      <c r="AY58" s="80">
        <v>0</v>
      </c>
      <c r="AZ58" s="80">
        <v>0</v>
      </c>
      <c r="BA58" s="80">
        <v>0</v>
      </c>
      <c r="BB58" s="80">
        <v>0</v>
      </c>
      <c r="BC58" s="80">
        <v>0</v>
      </c>
      <c r="BD58" s="82">
        <v>0</v>
      </c>
      <c r="BE58" s="57" t="s">
        <v>55</v>
      </c>
      <c r="BG58" s="59"/>
      <c r="BH58" s="83"/>
      <c r="BI58" s="83"/>
    </row>
    <row r="59" spans="2:61" s="58" customFormat="1" ht="14.15" hidden="1" customHeight="1" outlineLevel="1">
      <c r="B59" s="60" t="s">
        <v>75</v>
      </c>
      <c r="C59" s="60" t="s">
        <v>56</v>
      </c>
      <c r="D59" s="61">
        <v>18</v>
      </c>
      <c r="E59" s="61">
        <v>10</v>
      </c>
      <c r="F59" s="62">
        <v>1</v>
      </c>
      <c r="G59" s="62">
        <v>1</v>
      </c>
      <c r="H59" s="63"/>
      <c r="I59" s="274"/>
      <c r="J59" s="280"/>
      <c r="K59" s="276"/>
      <c r="L59" s="277"/>
      <c r="M59" s="274"/>
      <c r="N59" s="278"/>
      <c r="O59" s="276"/>
      <c r="P59" s="279"/>
      <c r="Q59" s="280"/>
      <c r="R59" s="281"/>
      <c r="S59" s="282"/>
      <c r="T59" s="278"/>
      <c r="U59" s="276"/>
      <c r="V59" s="282"/>
      <c r="W59" s="278"/>
      <c r="X59" s="276"/>
      <c r="Y59" s="284">
        <v>0.24</v>
      </c>
      <c r="Z59" s="285">
        <v>0.24</v>
      </c>
      <c r="AA59" s="285">
        <f t="shared" si="65"/>
        <v>8.9999999999999969E-2</v>
      </c>
      <c r="AB59" s="285">
        <v>0.67</v>
      </c>
      <c r="AC59" s="286">
        <f>18*Z59/6</f>
        <v>0.72000000000000008</v>
      </c>
      <c r="AD59" s="287"/>
      <c r="AE59" s="288">
        <f t="shared" si="67"/>
        <v>0.28000000000000003</v>
      </c>
      <c r="AF59" s="289">
        <f t="shared" si="68"/>
        <v>0.64</v>
      </c>
      <c r="AG59" s="289">
        <v>1</v>
      </c>
      <c r="AH59" s="289">
        <f t="shared" si="69"/>
        <v>1.36</v>
      </c>
      <c r="AI59" s="290">
        <f t="shared" si="70"/>
        <v>1.72</v>
      </c>
      <c r="AJ59" s="291">
        <f t="shared" si="71"/>
        <v>6</v>
      </c>
      <c r="AK59" s="291"/>
      <c r="AL59" s="292">
        <f>$AJ59*AE59</f>
        <v>1.6800000000000002</v>
      </c>
      <c r="AM59" s="293">
        <f>$AJ59*AF59</f>
        <v>3.84</v>
      </c>
      <c r="AN59" s="293">
        <f>$AJ59*AG59</f>
        <v>6</v>
      </c>
      <c r="AO59" s="293">
        <f>$AJ59*AH59</f>
        <v>8.16</v>
      </c>
      <c r="AP59" s="294">
        <f>$AJ59*AI59</f>
        <v>10.32</v>
      </c>
      <c r="AQ59" s="79">
        <v>0</v>
      </c>
      <c r="AR59" s="80">
        <v>0</v>
      </c>
      <c r="AS59" s="80">
        <v>0</v>
      </c>
      <c r="AT59" s="80">
        <v>0</v>
      </c>
      <c r="AU59" s="80">
        <v>0</v>
      </c>
      <c r="AV59" s="81">
        <v>0</v>
      </c>
      <c r="AW59" s="80">
        <v>0</v>
      </c>
      <c r="AX59" s="80">
        <v>0</v>
      </c>
      <c r="AY59" s="80">
        <v>0</v>
      </c>
      <c r="AZ59" s="80">
        <v>0</v>
      </c>
      <c r="BA59" s="80">
        <v>0</v>
      </c>
      <c r="BB59" s="80">
        <v>0</v>
      </c>
      <c r="BC59" s="80">
        <v>0</v>
      </c>
      <c r="BD59" s="82">
        <v>0</v>
      </c>
      <c r="BE59" s="57" t="s">
        <v>56</v>
      </c>
    </row>
    <row r="60" spans="2:61" s="58" customFormat="1" ht="14.15" hidden="1" customHeight="1" outlineLevel="1">
      <c r="B60" s="60"/>
      <c r="C60" s="60" t="s">
        <v>76</v>
      </c>
      <c r="D60" s="61">
        <v>19</v>
      </c>
      <c r="E60" s="61">
        <v>10.5</v>
      </c>
      <c r="F60" s="62"/>
      <c r="G60" s="62"/>
      <c r="H60" s="63"/>
      <c r="I60" s="296"/>
      <c r="J60" s="297"/>
      <c r="K60" s="298"/>
      <c r="L60" s="277"/>
      <c r="M60" s="299"/>
      <c r="N60" s="300"/>
      <c r="O60" s="301"/>
      <c r="P60" s="296"/>
      <c r="Q60" s="297"/>
      <c r="R60" s="302"/>
      <c r="S60" s="282"/>
      <c r="T60" s="278"/>
      <c r="U60" s="276"/>
      <c r="V60" s="282"/>
      <c r="W60" s="278"/>
      <c r="X60" s="276"/>
      <c r="Y60" s="284">
        <f t="shared" ref="Y60:AB60" si="80">Y59+(Y59-Y58)</f>
        <v>0.25</v>
      </c>
      <c r="Z60" s="303">
        <f t="shared" si="80"/>
        <v>0.25</v>
      </c>
      <c r="AA60" s="303">
        <f t="shared" si="80"/>
        <v>7.999999999999996E-2</v>
      </c>
      <c r="AB60" s="303">
        <f t="shared" si="80"/>
        <v>0.67</v>
      </c>
      <c r="AC60" s="286">
        <f>AC59+(AC59-AC58)</f>
        <v>0.75000000000000011</v>
      </c>
      <c r="AD60" s="304"/>
      <c r="AE60" s="305">
        <f t="shared" si="67"/>
        <v>0.25</v>
      </c>
      <c r="AF60" s="306">
        <f t="shared" si="68"/>
        <v>0.625</v>
      </c>
      <c r="AG60" s="306">
        <v>1</v>
      </c>
      <c r="AH60" s="306">
        <f t="shared" si="69"/>
        <v>1.375</v>
      </c>
      <c r="AI60" s="307">
        <f t="shared" si="70"/>
        <v>1.75</v>
      </c>
      <c r="AJ60" s="291">
        <f t="shared" ref="AJ60:AL60" si="81">AJ59+(AJ59-AJ58)</f>
        <v>6</v>
      </c>
      <c r="AK60" s="308"/>
      <c r="AL60" s="309">
        <f t="shared" si="81"/>
        <v>1.5000000000000002</v>
      </c>
      <c r="AM60" s="310">
        <f>AM59+(AM59-AM58)</f>
        <v>3.7499999999999996</v>
      </c>
      <c r="AN60" s="310">
        <f t="shared" ref="AN60:AP60" si="82">AN59+(AN59-AN58)</f>
        <v>6</v>
      </c>
      <c r="AO60" s="310">
        <f t="shared" si="82"/>
        <v>8.25</v>
      </c>
      <c r="AP60" s="311">
        <f t="shared" si="82"/>
        <v>10.5</v>
      </c>
      <c r="AQ60" s="119">
        <v>0</v>
      </c>
      <c r="AR60" s="120">
        <v>0</v>
      </c>
      <c r="AS60" s="120">
        <v>0</v>
      </c>
      <c r="AT60" s="120">
        <v>0</v>
      </c>
      <c r="AU60" s="120">
        <v>0</v>
      </c>
      <c r="AV60" s="121">
        <v>0</v>
      </c>
      <c r="AW60" s="122">
        <v>0</v>
      </c>
      <c r="AX60" s="122">
        <v>0</v>
      </c>
      <c r="AY60" s="122">
        <v>0</v>
      </c>
      <c r="AZ60" s="122">
        <v>0</v>
      </c>
      <c r="BA60" s="122">
        <v>0</v>
      </c>
      <c r="BB60" s="122">
        <v>0</v>
      </c>
      <c r="BC60" s="122">
        <v>0</v>
      </c>
      <c r="BD60" s="123">
        <v>0</v>
      </c>
      <c r="BE60" s="57" t="s">
        <v>57</v>
      </c>
    </row>
    <row r="61" spans="2:61" s="1" customFormat="1" ht="13.5" collapsed="1">
      <c r="B61" s="247"/>
      <c r="C61" s="247"/>
      <c r="D61" s="247"/>
      <c r="E61" s="247"/>
      <c r="F61" s="247"/>
      <c r="G61" s="247"/>
      <c r="H61" s="247"/>
      <c r="I61" s="247"/>
      <c r="J61" s="247"/>
      <c r="K61" s="247"/>
      <c r="L61" s="247"/>
      <c r="M61" s="247"/>
      <c r="N61" s="247"/>
    </row>
    <row r="62" spans="2:61" s="1" customFormat="1" ht="14" thickBot="1">
      <c r="B62" s="247"/>
      <c r="C62" s="247"/>
      <c r="D62" s="247"/>
      <c r="E62" s="247"/>
      <c r="F62" s="247"/>
      <c r="G62" s="247"/>
      <c r="H62" s="247"/>
      <c r="I62" s="247"/>
      <c r="J62" s="247"/>
      <c r="K62" s="247"/>
      <c r="L62" s="247"/>
      <c r="M62" s="247"/>
      <c r="N62" s="247"/>
    </row>
    <row r="63" spans="2:61" s="1" customFormat="1" ht="13.5">
      <c r="B63" s="312" t="s">
        <v>104</v>
      </c>
      <c r="C63" s="313"/>
      <c r="D63" s="313"/>
      <c r="E63" s="313"/>
      <c r="F63" s="313"/>
      <c r="G63" s="313"/>
      <c r="H63" s="313"/>
      <c r="I63" s="314" t="s">
        <v>10</v>
      </c>
      <c r="J63" s="315"/>
      <c r="K63" s="316"/>
      <c r="L63" s="313"/>
      <c r="M63" s="314" t="s">
        <v>11</v>
      </c>
      <c r="N63" s="315"/>
      <c r="O63" s="316"/>
      <c r="P63" s="314" t="s">
        <v>105</v>
      </c>
      <c r="Q63" s="315"/>
      <c r="R63" s="315"/>
      <c r="S63" s="254"/>
      <c r="T63" s="255"/>
      <c r="U63" s="255"/>
      <c r="V63" s="254"/>
      <c r="W63" s="255"/>
      <c r="X63" s="256"/>
      <c r="Y63" s="312"/>
      <c r="Z63" s="312"/>
      <c r="AA63" s="312"/>
      <c r="AB63" s="312"/>
      <c r="AC63" s="312"/>
      <c r="AD63" s="314"/>
      <c r="AE63" s="315"/>
      <c r="AF63" s="315"/>
      <c r="AG63" s="317" t="s">
        <v>16</v>
      </c>
      <c r="AH63" s="315"/>
      <c r="AI63" s="316"/>
      <c r="AJ63" s="312"/>
      <c r="AK63" s="314"/>
      <c r="AL63" s="315"/>
      <c r="AM63" s="315"/>
      <c r="AN63" s="317" t="s">
        <v>19</v>
      </c>
      <c r="AO63" s="315"/>
      <c r="AP63" s="316"/>
      <c r="AQ63" s="318" t="s">
        <v>20</v>
      </c>
      <c r="AR63" s="319"/>
      <c r="AS63" s="319"/>
      <c r="AT63" s="319"/>
      <c r="AU63" s="319"/>
      <c r="AV63" s="319"/>
      <c r="AW63" s="319"/>
      <c r="AX63" s="319"/>
      <c r="AY63" s="319"/>
      <c r="AZ63" s="319"/>
      <c r="BA63" s="319"/>
      <c r="BB63" s="319"/>
      <c r="BC63" s="319"/>
      <c r="BD63" s="320"/>
    </row>
    <row r="64" spans="2:61" s="33" customFormat="1" ht="14" thickBot="1">
      <c r="B64" s="321" t="s">
        <v>21</v>
      </c>
      <c r="C64" s="321" t="s">
        <v>22</v>
      </c>
      <c r="D64" s="321"/>
      <c r="E64" s="321" t="s">
        <v>23</v>
      </c>
      <c r="F64" s="322" t="s">
        <v>24</v>
      </c>
      <c r="G64" s="322" t="s">
        <v>25</v>
      </c>
      <c r="H64" s="323" t="s">
        <v>26</v>
      </c>
      <c r="I64" s="324" t="s">
        <v>27</v>
      </c>
      <c r="J64" s="322" t="s">
        <v>28</v>
      </c>
      <c r="K64" s="325" t="s">
        <v>106</v>
      </c>
      <c r="L64" s="326" t="s">
        <v>30</v>
      </c>
      <c r="M64" s="324" t="s">
        <v>27</v>
      </c>
      <c r="N64" s="322" t="s">
        <v>28</v>
      </c>
      <c r="O64" s="325" t="s">
        <v>29</v>
      </c>
      <c r="P64" s="324" t="s">
        <v>107</v>
      </c>
      <c r="Q64" s="322" t="s">
        <v>28</v>
      </c>
      <c r="R64" s="323" t="s">
        <v>29</v>
      </c>
      <c r="S64" s="264"/>
      <c r="T64" s="265"/>
      <c r="U64" s="268"/>
      <c r="V64" s="264"/>
      <c r="W64" s="265"/>
      <c r="X64" s="266"/>
      <c r="Y64" s="327" t="s">
        <v>32</v>
      </c>
      <c r="Z64" s="322" t="s">
        <v>33</v>
      </c>
      <c r="AA64" s="322" t="s">
        <v>34</v>
      </c>
      <c r="AB64" s="322" t="s">
        <v>35</v>
      </c>
      <c r="AC64" s="323" t="s">
        <v>36</v>
      </c>
      <c r="AD64" s="324" t="s">
        <v>83</v>
      </c>
      <c r="AE64" s="322" t="s">
        <v>38</v>
      </c>
      <c r="AF64" s="322" t="s">
        <v>39</v>
      </c>
      <c r="AG64" s="322" t="s">
        <v>40</v>
      </c>
      <c r="AH64" s="322" t="s">
        <v>41</v>
      </c>
      <c r="AI64" s="325" t="s">
        <v>100</v>
      </c>
      <c r="AJ64" s="328" t="s">
        <v>43</v>
      </c>
      <c r="AK64" s="324" t="s">
        <v>83</v>
      </c>
      <c r="AL64" s="322" t="s">
        <v>38</v>
      </c>
      <c r="AM64" s="322" t="s">
        <v>39</v>
      </c>
      <c r="AN64" s="322" t="s">
        <v>40</v>
      </c>
      <c r="AO64" s="322" t="s">
        <v>41</v>
      </c>
      <c r="AP64" s="325" t="s">
        <v>100</v>
      </c>
      <c r="AQ64" s="329" t="s">
        <v>101</v>
      </c>
      <c r="AR64" s="321" t="s">
        <v>102</v>
      </c>
      <c r="AS64" s="321" t="s">
        <v>103</v>
      </c>
      <c r="AT64" s="321" t="s">
        <v>47</v>
      </c>
      <c r="AU64" s="321" t="s">
        <v>48</v>
      </c>
      <c r="AV64" s="330" t="s">
        <v>49</v>
      </c>
      <c r="AW64" s="321" t="s">
        <v>50</v>
      </c>
      <c r="AX64" s="321" t="s">
        <v>51</v>
      </c>
      <c r="AY64" s="321" t="s">
        <v>52</v>
      </c>
      <c r="AZ64" s="321" t="s">
        <v>53</v>
      </c>
      <c r="BA64" s="321" t="s">
        <v>54</v>
      </c>
      <c r="BB64" s="321" t="s">
        <v>55</v>
      </c>
      <c r="BC64" s="321" t="s">
        <v>56</v>
      </c>
      <c r="BD64" s="331" t="s">
        <v>57</v>
      </c>
    </row>
    <row r="65" spans="2:61" s="58" customFormat="1" ht="14" thickTop="1">
      <c r="B65" s="278" t="s">
        <v>108</v>
      </c>
      <c r="C65" s="278" t="s">
        <v>49</v>
      </c>
      <c r="D65" s="332">
        <v>12</v>
      </c>
      <c r="E65" s="332">
        <v>6</v>
      </c>
      <c r="F65" s="333">
        <v>1</v>
      </c>
      <c r="G65" s="333">
        <v>1</v>
      </c>
      <c r="H65" s="283"/>
      <c r="I65" s="274">
        <v>8445760</v>
      </c>
      <c r="J65" s="334">
        <v>10557120</v>
      </c>
      <c r="K65" s="276">
        <v>14780000</v>
      </c>
      <c r="L65" s="277"/>
      <c r="M65" s="274">
        <f>ROUNDUP(N65*0.8,-1)</f>
        <v>527860</v>
      </c>
      <c r="N65" s="278">
        <f t="shared" ref="N65:N72" si="83">ROUNDUP((J65-$L65)/16,-1)</f>
        <v>659820</v>
      </c>
      <c r="O65" s="276">
        <f>ROUNDUP(N65*1.4,-1)</f>
        <v>923750</v>
      </c>
      <c r="P65" s="274">
        <f>M65*16</f>
        <v>8445760</v>
      </c>
      <c r="Q65" s="278">
        <f t="shared" ref="Q65:R73" si="84">N65*16</f>
        <v>10557120</v>
      </c>
      <c r="R65" s="283">
        <f t="shared" si="84"/>
        <v>14780000</v>
      </c>
      <c r="S65" s="282"/>
      <c r="T65" s="278"/>
      <c r="U65" s="283"/>
      <c r="V65" s="282"/>
      <c r="W65" s="278"/>
      <c r="X65" s="276"/>
      <c r="Y65" s="284">
        <v>0.16</v>
      </c>
      <c r="Z65" s="285">
        <v>0.16</v>
      </c>
      <c r="AA65" s="285">
        <f t="shared" ref="AA65:AA72" si="85">1-0.67-Z65</f>
        <v>0.16999999999999996</v>
      </c>
      <c r="AB65" s="285">
        <v>0.67</v>
      </c>
      <c r="AC65" s="286">
        <f t="shared" ref="AC65:AC68" si="86">18*Z65/6</f>
        <v>0.48</v>
      </c>
      <c r="AD65" s="335">
        <f t="shared" ref="AD65:AD73" si="87">MAX(0,AE65-(AF65-AE65))</f>
        <v>0.28000000000000003</v>
      </c>
      <c r="AE65" s="336">
        <f t="shared" ref="AE65:AE73" si="88">ROUND(AG65-AC65,3)</f>
        <v>0.52</v>
      </c>
      <c r="AF65" s="336">
        <f t="shared" ref="AF65:AF73" si="89">ROUND(AG65-AC65/2,3)</f>
        <v>0.76</v>
      </c>
      <c r="AG65" s="336">
        <v>1</v>
      </c>
      <c r="AH65" s="336">
        <f t="shared" ref="AH65:AH73" si="90">ROUND(AG65+AC65/2,3)</f>
        <v>1.24</v>
      </c>
      <c r="AI65" s="337">
        <f t="shared" ref="AI65:AI73" si="91">ROUND(AC65+AG65,3)</f>
        <v>1.48</v>
      </c>
      <c r="AJ65" s="291">
        <v>4</v>
      </c>
      <c r="AK65" s="335">
        <f t="shared" ref="AK65:AP73" si="92">$AJ65*AD65</f>
        <v>1.1200000000000001</v>
      </c>
      <c r="AL65" s="336">
        <f t="shared" si="92"/>
        <v>2.08</v>
      </c>
      <c r="AM65" s="336">
        <f t="shared" si="92"/>
        <v>3.04</v>
      </c>
      <c r="AN65" s="336">
        <f t="shared" si="92"/>
        <v>4</v>
      </c>
      <c r="AO65" s="336">
        <f t="shared" si="92"/>
        <v>4.96</v>
      </c>
      <c r="AP65" s="337">
        <f t="shared" si="92"/>
        <v>5.92</v>
      </c>
      <c r="AQ65" s="338">
        <f t="shared" ref="AQ65:BD73" si="93">AQ20</f>
        <v>-0.1245</v>
      </c>
      <c r="AR65" s="339">
        <f t="shared" si="93"/>
        <v>-0.11459999999999999</v>
      </c>
      <c r="AS65" s="339">
        <f t="shared" si="93"/>
        <v>-8.8999999999999996E-2</v>
      </c>
      <c r="AT65" s="339">
        <f t="shared" si="93"/>
        <v>-5.6899999999999999E-2</v>
      </c>
      <c r="AU65" s="339">
        <f t="shared" si="93"/>
        <v>-2.6200000000000001E-2</v>
      </c>
      <c r="AV65" s="340">
        <f t="shared" si="93"/>
        <v>0</v>
      </c>
      <c r="AW65" s="339">
        <f t="shared" si="93"/>
        <v>2.3599999999999999E-2</v>
      </c>
      <c r="AX65" s="339">
        <f t="shared" si="93"/>
        <v>0.1026</v>
      </c>
      <c r="AY65" s="339">
        <f t="shared" si="93"/>
        <v>0.23569999999999999</v>
      </c>
      <c r="AZ65" s="339">
        <f t="shared" si="93"/>
        <v>0.30919999999999997</v>
      </c>
      <c r="BA65" s="339">
        <f t="shared" si="93"/>
        <v>0.3826</v>
      </c>
      <c r="BB65" s="339">
        <f t="shared" si="93"/>
        <v>0.46820000000000001</v>
      </c>
      <c r="BC65" s="339">
        <f t="shared" si="93"/>
        <v>0.55379999999999996</v>
      </c>
      <c r="BD65" s="341">
        <f t="shared" si="93"/>
        <v>0.63939999999999997</v>
      </c>
      <c r="BE65" s="57" t="s">
        <v>49</v>
      </c>
      <c r="BG65" s="59"/>
      <c r="BH65" s="59"/>
      <c r="BI65" s="59"/>
    </row>
    <row r="66" spans="2:61" s="58" customFormat="1" ht="13.5">
      <c r="B66" s="60" t="s">
        <v>70</v>
      </c>
      <c r="C66" s="60" t="s">
        <v>71</v>
      </c>
      <c r="D66" s="61">
        <v>12</v>
      </c>
      <c r="E66" s="61">
        <v>6</v>
      </c>
      <c r="F66" s="62">
        <v>1</v>
      </c>
      <c r="G66" s="62">
        <v>1</v>
      </c>
      <c r="H66" s="63"/>
      <c r="I66" s="64">
        <v>9887680</v>
      </c>
      <c r="J66" s="65">
        <v>12359520</v>
      </c>
      <c r="K66" s="66">
        <v>17303360</v>
      </c>
      <c r="L66" s="67"/>
      <c r="M66" s="64">
        <f t="shared" ref="M66:M70" si="94">ROUNDUP(N66*0.8,-1)</f>
        <v>617980</v>
      </c>
      <c r="N66" s="60">
        <f t="shared" si="83"/>
        <v>772470</v>
      </c>
      <c r="O66" s="66">
        <f t="shared" ref="O66:O73" si="95">ROUNDUP(N66*1.4,-1)</f>
        <v>1081460</v>
      </c>
      <c r="P66" s="64">
        <f t="shared" ref="P66:P73" si="96">M66*16</f>
        <v>9887680</v>
      </c>
      <c r="Q66" s="60">
        <f t="shared" si="84"/>
        <v>12359520</v>
      </c>
      <c r="R66" s="63">
        <f t="shared" si="84"/>
        <v>17303360</v>
      </c>
      <c r="S66" s="282"/>
      <c r="T66" s="278"/>
      <c r="U66" s="283"/>
      <c r="V66" s="282"/>
      <c r="W66" s="278"/>
      <c r="X66" s="276"/>
      <c r="Y66" s="69">
        <v>0.16</v>
      </c>
      <c r="Z66" s="105">
        <v>0.16</v>
      </c>
      <c r="AA66" s="105">
        <f t="shared" si="85"/>
        <v>0.16999999999999996</v>
      </c>
      <c r="AB66" s="105">
        <v>0.67</v>
      </c>
      <c r="AC66" s="71">
        <f t="shared" si="86"/>
        <v>0.48</v>
      </c>
      <c r="AD66" s="72">
        <f t="shared" si="87"/>
        <v>0.28000000000000003</v>
      </c>
      <c r="AE66" s="73">
        <f t="shared" si="88"/>
        <v>0.52</v>
      </c>
      <c r="AF66" s="73">
        <f t="shared" si="89"/>
        <v>0.76</v>
      </c>
      <c r="AG66" s="73">
        <v>1</v>
      </c>
      <c r="AH66" s="73">
        <f t="shared" si="90"/>
        <v>1.24</v>
      </c>
      <c r="AI66" s="74">
        <f t="shared" si="91"/>
        <v>1.48</v>
      </c>
      <c r="AJ66" s="75">
        <v>4</v>
      </c>
      <c r="AK66" s="72">
        <f t="shared" si="92"/>
        <v>1.1200000000000001</v>
      </c>
      <c r="AL66" s="73">
        <f t="shared" si="92"/>
        <v>2.08</v>
      </c>
      <c r="AM66" s="73">
        <f t="shared" si="92"/>
        <v>3.04</v>
      </c>
      <c r="AN66" s="73">
        <f t="shared" si="92"/>
        <v>4</v>
      </c>
      <c r="AO66" s="73">
        <f t="shared" si="92"/>
        <v>4.96</v>
      </c>
      <c r="AP66" s="74">
        <f t="shared" si="92"/>
        <v>5.92</v>
      </c>
      <c r="AQ66" s="165">
        <f t="shared" si="93"/>
        <v>-0.13</v>
      </c>
      <c r="AR66" s="80">
        <f t="shared" si="93"/>
        <v>-0.1208</v>
      </c>
      <c r="AS66" s="80">
        <f t="shared" si="93"/>
        <v>-9.7100000000000006E-2</v>
      </c>
      <c r="AT66" s="80">
        <f t="shared" si="93"/>
        <v>-6.7299999999999999E-2</v>
      </c>
      <c r="AU66" s="80">
        <f t="shared" si="93"/>
        <v>-3.8899999999999997E-2</v>
      </c>
      <c r="AV66" s="81">
        <f t="shared" si="93"/>
        <v>-1.46E-2</v>
      </c>
      <c r="AW66" s="80">
        <f t="shared" si="93"/>
        <v>0</v>
      </c>
      <c r="AX66" s="80">
        <f t="shared" si="93"/>
        <v>7.3200000000000001E-2</v>
      </c>
      <c r="AY66" s="80">
        <f t="shared" si="93"/>
        <v>0.1966</v>
      </c>
      <c r="AZ66" s="80">
        <f t="shared" si="93"/>
        <v>0.26469999999999999</v>
      </c>
      <c r="BA66" s="80">
        <f t="shared" si="93"/>
        <v>0.33279999999999998</v>
      </c>
      <c r="BB66" s="80">
        <f t="shared" si="93"/>
        <v>0.41220000000000001</v>
      </c>
      <c r="BC66" s="80">
        <f t="shared" si="93"/>
        <v>0.49159999999999998</v>
      </c>
      <c r="BD66" s="82">
        <f t="shared" si="93"/>
        <v>0.57089999999999996</v>
      </c>
      <c r="BE66" s="57" t="s">
        <v>50</v>
      </c>
      <c r="BG66" s="59"/>
      <c r="BH66" s="59"/>
      <c r="BI66" s="59"/>
    </row>
    <row r="67" spans="2:61" s="58" customFormat="1" ht="13.5">
      <c r="B67" s="60" t="s">
        <v>72</v>
      </c>
      <c r="C67" s="60" t="s">
        <v>51</v>
      </c>
      <c r="D67" s="61">
        <v>13</v>
      </c>
      <c r="E67" s="61">
        <v>7</v>
      </c>
      <c r="F67" s="62">
        <v>1</v>
      </c>
      <c r="G67" s="62">
        <v>1</v>
      </c>
      <c r="H67" s="63"/>
      <c r="I67" s="64">
        <v>12301920</v>
      </c>
      <c r="J67" s="60">
        <v>15377280</v>
      </c>
      <c r="K67" s="66">
        <v>21528320</v>
      </c>
      <c r="L67" s="67"/>
      <c r="M67" s="64">
        <f t="shared" si="94"/>
        <v>768870</v>
      </c>
      <c r="N67" s="60">
        <f t="shared" si="83"/>
        <v>961080</v>
      </c>
      <c r="O67" s="66">
        <f t="shared" si="95"/>
        <v>1345520</v>
      </c>
      <c r="P67" s="64">
        <f t="shared" si="96"/>
        <v>12301920</v>
      </c>
      <c r="Q67" s="60">
        <f t="shared" si="84"/>
        <v>15377280</v>
      </c>
      <c r="R67" s="63">
        <f t="shared" si="84"/>
        <v>21528320</v>
      </c>
      <c r="S67" s="282"/>
      <c r="T67" s="278"/>
      <c r="U67" s="283"/>
      <c r="V67" s="282"/>
      <c r="W67" s="278"/>
      <c r="X67" s="276"/>
      <c r="Y67" s="69">
        <v>0.18</v>
      </c>
      <c r="Z67" s="105">
        <v>0.18</v>
      </c>
      <c r="AA67" s="105">
        <f t="shared" si="85"/>
        <v>0.14999999999999997</v>
      </c>
      <c r="AB67" s="105">
        <v>0.67</v>
      </c>
      <c r="AC67" s="71">
        <f t="shared" si="86"/>
        <v>0.53999999999999992</v>
      </c>
      <c r="AD67" s="72">
        <f t="shared" si="87"/>
        <v>0.19000000000000006</v>
      </c>
      <c r="AE67" s="73">
        <f t="shared" si="88"/>
        <v>0.46</v>
      </c>
      <c r="AF67" s="73">
        <f t="shared" si="89"/>
        <v>0.73</v>
      </c>
      <c r="AG67" s="73">
        <v>1</v>
      </c>
      <c r="AH67" s="73">
        <f t="shared" si="90"/>
        <v>1.27</v>
      </c>
      <c r="AI67" s="74">
        <f t="shared" si="91"/>
        <v>1.54</v>
      </c>
      <c r="AJ67" s="75">
        <v>4</v>
      </c>
      <c r="AK67" s="72">
        <f t="shared" si="92"/>
        <v>0.76000000000000023</v>
      </c>
      <c r="AL67" s="73">
        <f t="shared" si="92"/>
        <v>1.84</v>
      </c>
      <c r="AM67" s="73">
        <f t="shared" si="92"/>
        <v>2.92</v>
      </c>
      <c r="AN67" s="73">
        <f t="shared" si="92"/>
        <v>4</v>
      </c>
      <c r="AO67" s="73">
        <f t="shared" si="92"/>
        <v>5.08</v>
      </c>
      <c r="AP67" s="74">
        <f t="shared" si="92"/>
        <v>6.16</v>
      </c>
      <c r="AQ67" s="165">
        <f t="shared" si="93"/>
        <v>-0.14380000000000001</v>
      </c>
      <c r="AR67" s="80">
        <f t="shared" si="93"/>
        <v>-0.1363</v>
      </c>
      <c r="AS67" s="80">
        <f t="shared" si="93"/>
        <v>-0.1173</v>
      </c>
      <c r="AT67" s="80">
        <f t="shared" si="93"/>
        <v>-9.3299999999999994E-2</v>
      </c>
      <c r="AU67" s="80">
        <f t="shared" si="93"/>
        <v>-7.0499999999999993E-2</v>
      </c>
      <c r="AV67" s="81">
        <f t="shared" si="93"/>
        <v>-5.0999999999999997E-2</v>
      </c>
      <c r="AW67" s="80">
        <f>AW22</f>
        <v>-3.9199999999999999E-2</v>
      </c>
      <c r="AX67" s="80">
        <f t="shared" si="93"/>
        <v>0</v>
      </c>
      <c r="AY67" s="80">
        <f t="shared" si="93"/>
        <v>9.9199999999999997E-2</v>
      </c>
      <c r="AZ67" s="80">
        <f t="shared" si="93"/>
        <v>0.15390000000000001</v>
      </c>
      <c r="BA67" s="80">
        <f t="shared" si="93"/>
        <v>0.20860000000000001</v>
      </c>
      <c r="BB67" s="80">
        <f t="shared" si="93"/>
        <v>0.27239999999999998</v>
      </c>
      <c r="BC67" s="80">
        <f t="shared" si="93"/>
        <v>0.3362</v>
      </c>
      <c r="BD67" s="82">
        <f t="shared" si="93"/>
        <v>0.4</v>
      </c>
      <c r="BE67" s="57" t="s">
        <v>51</v>
      </c>
      <c r="BG67" s="59"/>
      <c r="BH67" s="59"/>
      <c r="BI67" s="59"/>
    </row>
    <row r="68" spans="2:61" s="58" customFormat="1" ht="13.5">
      <c r="B68" s="60" t="s">
        <v>73</v>
      </c>
      <c r="C68" s="60" t="s">
        <v>52</v>
      </c>
      <c r="D68" s="61">
        <v>14</v>
      </c>
      <c r="E68" s="61">
        <v>8</v>
      </c>
      <c r="F68" s="62">
        <v>1</v>
      </c>
      <c r="G68" s="62">
        <v>1</v>
      </c>
      <c r="H68" s="63"/>
      <c r="I68" s="64">
        <v>16368640</v>
      </c>
      <c r="J68" s="60">
        <v>20460800</v>
      </c>
      <c r="K68" s="66">
        <v>28645120</v>
      </c>
      <c r="L68" s="67"/>
      <c r="M68" s="64">
        <f t="shared" si="94"/>
        <v>1023040</v>
      </c>
      <c r="N68" s="60">
        <f t="shared" si="83"/>
        <v>1278800</v>
      </c>
      <c r="O68" s="66">
        <f t="shared" si="95"/>
        <v>1790320</v>
      </c>
      <c r="P68" s="64">
        <f t="shared" si="96"/>
        <v>16368640</v>
      </c>
      <c r="Q68" s="60">
        <f t="shared" si="84"/>
        <v>20460800</v>
      </c>
      <c r="R68" s="63">
        <f t="shared" si="84"/>
        <v>28645120</v>
      </c>
      <c r="S68" s="282"/>
      <c r="T68" s="278"/>
      <c r="U68" s="283"/>
      <c r="V68" s="282"/>
      <c r="W68" s="278"/>
      <c r="X68" s="276"/>
      <c r="Y68" s="69">
        <v>0.2</v>
      </c>
      <c r="Z68" s="105">
        <v>0.2</v>
      </c>
      <c r="AA68" s="105">
        <f t="shared" si="85"/>
        <v>0.12999999999999995</v>
      </c>
      <c r="AB68" s="105">
        <v>0.67</v>
      </c>
      <c r="AC68" s="71">
        <f t="shared" si="86"/>
        <v>0.6</v>
      </c>
      <c r="AD68" s="72">
        <f t="shared" si="87"/>
        <v>0.10000000000000009</v>
      </c>
      <c r="AE68" s="73">
        <f t="shared" si="88"/>
        <v>0.4</v>
      </c>
      <c r="AF68" s="73">
        <f t="shared" si="89"/>
        <v>0.7</v>
      </c>
      <c r="AG68" s="73">
        <v>1</v>
      </c>
      <c r="AH68" s="73">
        <f t="shared" si="90"/>
        <v>1.3</v>
      </c>
      <c r="AI68" s="74">
        <f t="shared" si="91"/>
        <v>1.6</v>
      </c>
      <c r="AJ68" s="75">
        <v>4</v>
      </c>
      <c r="AK68" s="72">
        <f t="shared" si="92"/>
        <v>0.40000000000000036</v>
      </c>
      <c r="AL68" s="73">
        <f t="shared" si="92"/>
        <v>1.6</v>
      </c>
      <c r="AM68" s="73">
        <f t="shared" si="92"/>
        <v>2.8</v>
      </c>
      <c r="AN68" s="73">
        <f t="shared" si="92"/>
        <v>4</v>
      </c>
      <c r="AO68" s="73">
        <f t="shared" si="92"/>
        <v>5.2</v>
      </c>
      <c r="AP68" s="74">
        <f t="shared" si="92"/>
        <v>6.4</v>
      </c>
      <c r="AQ68" s="165">
        <f t="shared" si="93"/>
        <v>-0.15770000000000001</v>
      </c>
      <c r="AR68" s="80">
        <f t="shared" si="93"/>
        <v>-0.1522</v>
      </c>
      <c r="AS68" s="80">
        <f t="shared" si="93"/>
        <v>-0.13789999999999999</v>
      </c>
      <c r="AT68" s="80">
        <f t="shared" si="93"/>
        <v>-0.1198</v>
      </c>
      <c r="AU68" s="80">
        <f t="shared" si="93"/>
        <v>-0.1027</v>
      </c>
      <c r="AV68" s="81">
        <f t="shared" si="93"/>
        <v>-8.7999999999999995E-2</v>
      </c>
      <c r="AW68" s="80">
        <f t="shared" si="93"/>
        <v>-7.9200000000000007E-2</v>
      </c>
      <c r="AX68" s="80">
        <f t="shared" si="93"/>
        <v>-4.9700000000000001E-2</v>
      </c>
      <c r="AY68" s="80">
        <f t="shared" si="93"/>
        <v>0</v>
      </c>
      <c r="AZ68" s="80">
        <f t="shared" si="93"/>
        <v>4.1099999999999998E-2</v>
      </c>
      <c r="BA68" s="80">
        <f t="shared" si="93"/>
        <v>8.2299999999999998E-2</v>
      </c>
      <c r="BB68" s="80">
        <f t="shared" si="93"/>
        <v>0.13020000000000001</v>
      </c>
      <c r="BC68" s="80">
        <f t="shared" si="93"/>
        <v>0.1782</v>
      </c>
      <c r="BD68" s="82">
        <f t="shared" si="93"/>
        <v>0.2261</v>
      </c>
      <c r="BE68" s="57" t="s">
        <v>52</v>
      </c>
      <c r="BG68" s="59"/>
      <c r="BH68" s="59"/>
      <c r="BI68" s="59"/>
    </row>
    <row r="69" spans="2:61" s="58" customFormat="1" ht="13.5">
      <c r="B69" s="60"/>
      <c r="C69" s="60" t="s">
        <v>53</v>
      </c>
      <c r="D69" s="61">
        <v>15</v>
      </c>
      <c r="E69" s="61">
        <v>8.5</v>
      </c>
      <c r="F69" s="62"/>
      <c r="G69" s="62"/>
      <c r="H69" s="63"/>
      <c r="I69" s="88">
        <f>$J69*I$74</f>
        <v>18613056</v>
      </c>
      <c r="J69" s="84">
        <v>23266320</v>
      </c>
      <c r="K69" s="90">
        <f>$J69*K$74</f>
        <v>32572847.999999996</v>
      </c>
      <c r="L69" s="67"/>
      <c r="M69" s="64">
        <f t="shared" si="94"/>
        <v>1163320</v>
      </c>
      <c r="N69" s="60">
        <f t="shared" si="83"/>
        <v>1454150</v>
      </c>
      <c r="O69" s="66">
        <f>ROUNDUP(N69*1.4,-1)</f>
        <v>2035810</v>
      </c>
      <c r="P69" s="64">
        <f t="shared" si="96"/>
        <v>18613120</v>
      </c>
      <c r="Q69" s="60">
        <f t="shared" si="84"/>
        <v>23266400</v>
      </c>
      <c r="R69" s="63">
        <f t="shared" si="84"/>
        <v>32572960</v>
      </c>
      <c r="S69" s="282"/>
      <c r="T69" s="278"/>
      <c r="U69" s="283"/>
      <c r="V69" s="282"/>
      <c r="W69" s="278"/>
      <c r="X69" s="276"/>
      <c r="Y69" s="69">
        <f t="shared" ref="Y69:Z69" si="97">(Y68+Y70)/2</f>
        <v>0.21000000000000002</v>
      </c>
      <c r="Z69" s="105">
        <f t="shared" si="97"/>
        <v>0.21000000000000002</v>
      </c>
      <c r="AA69" s="105">
        <f t="shared" si="85"/>
        <v>0.11999999999999994</v>
      </c>
      <c r="AB69" s="105">
        <v>0.67</v>
      </c>
      <c r="AC69" s="71">
        <f t="shared" ref="AC69" si="98">(AC68+AC70)/2</f>
        <v>0.63</v>
      </c>
      <c r="AD69" s="72">
        <f t="shared" si="87"/>
        <v>5.4999999999999938E-2</v>
      </c>
      <c r="AE69" s="73">
        <f t="shared" si="88"/>
        <v>0.37</v>
      </c>
      <c r="AF69" s="73">
        <f t="shared" si="89"/>
        <v>0.68500000000000005</v>
      </c>
      <c r="AG69" s="73">
        <v>1</v>
      </c>
      <c r="AH69" s="73">
        <f t="shared" si="90"/>
        <v>1.3149999999999999</v>
      </c>
      <c r="AI69" s="74">
        <f t="shared" si="91"/>
        <v>1.63</v>
      </c>
      <c r="AJ69" s="75">
        <v>4</v>
      </c>
      <c r="AK69" s="72">
        <f t="shared" si="92"/>
        <v>0.21999999999999975</v>
      </c>
      <c r="AL69" s="73">
        <f t="shared" ref="AL69:AP69" si="99">(AL68+AL70)/2</f>
        <v>1.48</v>
      </c>
      <c r="AM69" s="73">
        <f t="shared" si="99"/>
        <v>2.74</v>
      </c>
      <c r="AN69" s="73">
        <f t="shared" si="99"/>
        <v>4</v>
      </c>
      <c r="AO69" s="73">
        <f t="shared" si="99"/>
        <v>5.26</v>
      </c>
      <c r="AP69" s="74">
        <f t="shared" si="99"/>
        <v>6.52</v>
      </c>
      <c r="AQ69" s="165">
        <f t="shared" si="93"/>
        <v>-0.1628</v>
      </c>
      <c r="AR69" s="80">
        <f t="shared" si="93"/>
        <v>-0.15790000000000001</v>
      </c>
      <c r="AS69" s="80">
        <f t="shared" si="93"/>
        <v>-0.14530000000000001</v>
      </c>
      <c r="AT69" s="80">
        <f t="shared" si="93"/>
        <v>-0.1295</v>
      </c>
      <c r="AU69" s="80">
        <f t="shared" si="93"/>
        <v>-0.1144</v>
      </c>
      <c r="AV69" s="81">
        <f t="shared" si="93"/>
        <v>-0.10150000000000001</v>
      </c>
      <c r="AW69" s="80">
        <f t="shared" si="93"/>
        <v>-9.3799999999999994E-2</v>
      </c>
      <c r="AX69" s="80">
        <f t="shared" si="93"/>
        <v>-6.7799999999999999E-2</v>
      </c>
      <c r="AY69" s="80">
        <f t="shared" si="93"/>
        <v>-2.41E-2</v>
      </c>
      <c r="AZ69" s="80">
        <f t="shared" si="93"/>
        <v>0</v>
      </c>
      <c r="BA69" s="80">
        <f t="shared" si="93"/>
        <v>3.6200000000000003E-2</v>
      </c>
      <c r="BB69" s="80">
        <f t="shared" si="93"/>
        <v>7.8299999999999995E-2</v>
      </c>
      <c r="BC69" s="80">
        <f t="shared" si="93"/>
        <v>0.1205</v>
      </c>
      <c r="BD69" s="82">
        <f t="shared" si="93"/>
        <v>0.16270000000000001</v>
      </c>
      <c r="BE69" s="57" t="s">
        <v>53</v>
      </c>
      <c r="BG69" s="59"/>
      <c r="BH69" s="59"/>
      <c r="BI69" s="59"/>
    </row>
    <row r="70" spans="2:61" s="58" customFormat="1" ht="13.5">
      <c r="B70" s="60" t="s">
        <v>74</v>
      </c>
      <c r="C70" s="60" t="s">
        <v>54</v>
      </c>
      <c r="D70" s="61">
        <v>16</v>
      </c>
      <c r="E70" s="61">
        <v>9</v>
      </c>
      <c r="F70" s="62">
        <v>1</v>
      </c>
      <c r="G70" s="62">
        <v>1</v>
      </c>
      <c r="H70" s="63"/>
      <c r="I70" s="64">
        <v>20857600</v>
      </c>
      <c r="J70" s="60">
        <v>26071840</v>
      </c>
      <c r="K70" s="66">
        <v>36500640</v>
      </c>
      <c r="L70" s="67"/>
      <c r="M70" s="64">
        <f t="shared" si="94"/>
        <v>1303600</v>
      </c>
      <c r="N70" s="60">
        <f>ROUNDUP((J70-$L70)/16,-1)</f>
        <v>1629490</v>
      </c>
      <c r="O70" s="66">
        <f t="shared" si="95"/>
        <v>2281290</v>
      </c>
      <c r="P70" s="64">
        <f t="shared" si="96"/>
        <v>20857600</v>
      </c>
      <c r="Q70" s="60">
        <f t="shared" si="84"/>
        <v>26071840</v>
      </c>
      <c r="R70" s="63">
        <f t="shared" si="84"/>
        <v>36500640</v>
      </c>
      <c r="S70" s="282"/>
      <c r="T70" s="278"/>
      <c r="U70" s="276"/>
      <c r="V70" s="282"/>
      <c r="W70" s="278"/>
      <c r="X70" s="276"/>
      <c r="Y70" s="69">
        <v>0.22</v>
      </c>
      <c r="Z70" s="105">
        <v>0.22</v>
      </c>
      <c r="AA70" s="105">
        <f t="shared" si="85"/>
        <v>0.10999999999999996</v>
      </c>
      <c r="AB70" s="105">
        <v>0.67</v>
      </c>
      <c r="AC70" s="71">
        <f t="shared" ref="AC70" si="100">18*Z70/6</f>
        <v>0.66</v>
      </c>
      <c r="AD70" s="72">
        <f t="shared" si="87"/>
        <v>1.0000000000000009E-2</v>
      </c>
      <c r="AE70" s="73">
        <f t="shared" si="88"/>
        <v>0.34</v>
      </c>
      <c r="AF70" s="73">
        <f t="shared" si="89"/>
        <v>0.67</v>
      </c>
      <c r="AG70" s="73">
        <v>1</v>
      </c>
      <c r="AH70" s="73">
        <f t="shared" si="90"/>
        <v>1.33</v>
      </c>
      <c r="AI70" s="74">
        <f t="shared" si="91"/>
        <v>1.66</v>
      </c>
      <c r="AJ70" s="75">
        <v>4</v>
      </c>
      <c r="AK70" s="72">
        <f t="shared" si="92"/>
        <v>4.0000000000000036E-2</v>
      </c>
      <c r="AL70" s="73">
        <f>$AJ70*AE70</f>
        <v>1.36</v>
      </c>
      <c r="AM70" s="73">
        <f>$AJ70*AF70</f>
        <v>2.68</v>
      </c>
      <c r="AN70" s="73">
        <f>$AJ70*AG70</f>
        <v>4</v>
      </c>
      <c r="AO70" s="73">
        <f>$AJ70*AH70</f>
        <v>5.32</v>
      </c>
      <c r="AP70" s="74">
        <f>$AJ70*AI70</f>
        <v>6.64</v>
      </c>
      <c r="AQ70" s="165">
        <f t="shared" si="93"/>
        <v>-0.1668</v>
      </c>
      <c r="AR70" s="80">
        <f t="shared" si="93"/>
        <v>-0.16250000000000001</v>
      </c>
      <c r="AS70" s="80">
        <f t="shared" si="93"/>
        <v>-0.1512</v>
      </c>
      <c r="AT70" s="80">
        <f t="shared" si="93"/>
        <v>-0.1371</v>
      </c>
      <c r="AU70" s="80">
        <f t="shared" si="93"/>
        <v>-0.1236</v>
      </c>
      <c r="AV70" s="81">
        <f t="shared" si="93"/>
        <v>-0.11210000000000001</v>
      </c>
      <c r="AW70" s="80">
        <f t="shared" si="93"/>
        <v>-0.1052</v>
      </c>
      <c r="AX70" s="80">
        <f t="shared" si="93"/>
        <v>-8.2000000000000003E-2</v>
      </c>
      <c r="AY70" s="80">
        <f t="shared" si="93"/>
        <v>-4.2999999999999997E-2</v>
      </c>
      <c r="AZ70" s="80">
        <f t="shared" si="93"/>
        <v>-2.1499999999999998E-2</v>
      </c>
      <c r="BA70" s="80">
        <f t="shared" si="93"/>
        <v>0</v>
      </c>
      <c r="BB70" s="80">
        <f t="shared" si="93"/>
        <v>3.7600000000000001E-2</v>
      </c>
      <c r="BC70" s="80">
        <f t="shared" si="93"/>
        <v>7.5300000000000006E-2</v>
      </c>
      <c r="BD70" s="82">
        <f t="shared" si="93"/>
        <v>0.1129</v>
      </c>
      <c r="BE70" s="57" t="s">
        <v>54</v>
      </c>
      <c r="BG70" s="59"/>
      <c r="BH70" s="83"/>
      <c r="BI70" s="83"/>
    </row>
    <row r="71" spans="2:61" s="58" customFormat="1" ht="13.5">
      <c r="B71" s="60"/>
      <c r="C71" s="60" t="s">
        <v>55</v>
      </c>
      <c r="D71" s="61">
        <v>17</v>
      </c>
      <c r="E71" s="61">
        <v>9.5</v>
      </c>
      <c r="F71" s="62"/>
      <c r="G71" s="62"/>
      <c r="H71" s="63"/>
      <c r="I71" s="88">
        <f>$J71*I$74</f>
        <v>23473344</v>
      </c>
      <c r="J71" s="84">
        <f>AVERAGE(J70,J72)</f>
        <v>29341680</v>
      </c>
      <c r="K71" s="90">
        <f>$J71*K$74</f>
        <v>41078352</v>
      </c>
      <c r="L71" s="67"/>
      <c r="M71" s="64">
        <f>ROUNDUP(N71*0.8,-1)</f>
        <v>1467090</v>
      </c>
      <c r="N71" s="60">
        <f t="shared" si="83"/>
        <v>1833860</v>
      </c>
      <c r="O71" s="66">
        <f t="shared" si="95"/>
        <v>2567410</v>
      </c>
      <c r="P71" s="64">
        <f t="shared" si="96"/>
        <v>23473440</v>
      </c>
      <c r="Q71" s="60">
        <f t="shared" si="84"/>
        <v>29341760</v>
      </c>
      <c r="R71" s="63">
        <f t="shared" si="84"/>
        <v>41078560</v>
      </c>
      <c r="S71" s="282"/>
      <c r="T71" s="278"/>
      <c r="U71" s="276"/>
      <c r="V71" s="282"/>
      <c r="W71" s="278"/>
      <c r="X71" s="276"/>
      <c r="Y71" s="69">
        <f t="shared" ref="Y71:Z71" si="101">(Y70+Y72)/2</f>
        <v>0.22999999999999998</v>
      </c>
      <c r="Z71" s="105">
        <f t="shared" si="101"/>
        <v>0.22999999999999998</v>
      </c>
      <c r="AA71" s="105">
        <f t="shared" si="85"/>
        <v>9.9999999999999978E-2</v>
      </c>
      <c r="AB71" s="105">
        <v>0.67</v>
      </c>
      <c r="AC71" s="71">
        <f t="shared" ref="AC71" si="102">(AC70+AC72)/2</f>
        <v>0.69000000000000006</v>
      </c>
      <c r="AD71" s="72">
        <f t="shared" si="87"/>
        <v>0</v>
      </c>
      <c r="AE71" s="73">
        <f t="shared" si="88"/>
        <v>0.31</v>
      </c>
      <c r="AF71" s="73">
        <f t="shared" si="89"/>
        <v>0.65500000000000003</v>
      </c>
      <c r="AG71" s="73">
        <v>1</v>
      </c>
      <c r="AH71" s="73">
        <f t="shared" si="90"/>
        <v>1.345</v>
      </c>
      <c r="AI71" s="74">
        <f t="shared" si="91"/>
        <v>1.69</v>
      </c>
      <c r="AJ71" s="75">
        <v>4</v>
      </c>
      <c r="AK71" s="72">
        <f t="shared" si="92"/>
        <v>0</v>
      </c>
      <c r="AL71" s="73">
        <f t="shared" ref="AL71:AP71" si="103">(AL70+AL72)/2</f>
        <v>1.2400000000000002</v>
      </c>
      <c r="AM71" s="73">
        <f t="shared" si="103"/>
        <v>2.62</v>
      </c>
      <c r="AN71" s="73">
        <f t="shared" si="103"/>
        <v>4</v>
      </c>
      <c r="AO71" s="73">
        <f t="shared" si="103"/>
        <v>5.3800000000000008</v>
      </c>
      <c r="AP71" s="74">
        <f t="shared" si="103"/>
        <v>6.76</v>
      </c>
      <c r="AQ71" s="165">
        <f t="shared" si="93"/>
        <v>-0.17050000000000001</v>
      </c>
      <c r="AR71" s="80">
        <f t="shared" si="93"/>
        <v>-0.1666</v>
      </c>
      <c r="AS71" s="80">
        <f t="shared" si="93"/>
        <v>-0.15670000000000001</v>
      </c>
      <c r="AT71" s="80">
        <f t="shared" si="93"/>
        <v>-0.14410000000000001</v>
      </c>
      <c r="AU71" s="80">
        <f t="shared" si="93"/>
        <v>-0.1321</v>
      </c>
      <c r="AV71" s="81">
        <f t="shared" si="93"/>
        <v>-0.12189999999999999</v>
      </c>
      <c r="AW71" s="80">
        <f t="shared" si="93"/>
        <v>-0.1158</v>
      </c>
      <c r="AX71" s="80">
        <f t="shared" si="93"/>
        <v>-9.5200000000000007E-2</v>
      </c>
      <c r="AY71" s="80">
        <f t="shared" si="93"/>
        <v>-6.0499999999999998E-2</v>
      </c>
      <c r="AZ71" s="80">
        <f t="shared" si="93"/>
        <v>-4.1399999999999999E-2</v>
      </c>
      <c r="BA71" s="80">
        <f t="shared" si="93"/>
        <v>-2.23E-2</v>
      </c>
      <c r="BB71" s="80">
        <f t="shared" si="93"/>
        <v>0</v>
      </c>
      <c r="BC71" s="80">
        <f t="shared" si="93"/>
        <v>3.3399999999999999E-2</v>
      </c>
      <c r="BD71" s="82">
        <f t="shared" si="93"/>
        <v>6.6900000000000001E-2</v>
      </c>
      <c r="BE71" s="57" t="s">
        <v>55</v>
      </c>
      <c r="BG71" s="59"/>
      <c r="BH71" s="83"/>
      <c r="BI71" s="83"/>
    </row>
    <row r="72" spans="2:61" s="58" customFormat="1" ht="13.5">
      <c r="B72" s="60" t="s">
        <v>75</v>
      </c>
      <c r="C72" s="60" t="s">
        <v>56</v>
      </c>
      <c r="D72" s="61">
        <v>18</v>
      </c>
      <c r="E72" s="61">
        <v>10</v>
      </c>
      <c r="F72" s="62">
        <v>1</v>
      </c>
      <c r="G72" s="62">
        <v>1</v>
      </c>
      <c r="H72" s="63"/>
      <c r="I72" s="64">
        <v>26089280</v>
      </c>
      <c r="J72" s="60">
        <v>32611520</v>
      </c>
      <c r="K72" s="66">
        <v>45656160</v>
      </c>
      <c r="L72" s="67"/>
      <c r="M72" s="64">
        <f>ROUNDUP(N72*0.8,-1)</f>
        <v>1630580</v>
      </c>
      <c r="N72" s="60">
        <f t="shared" si="83"/>
        <v>2038220</v>
      </c>
      <c r="O72" s="66">
        <f t="shared" si="95"/>
        <v>2853510</v>
      </c>
      <c r="P72" s="64">
        <f t="shared" si="96"/>
        <v>26089280</v>
      </c>
      <c r="Q72" s="60">
        <f t="shared" si="84"/>
        <v>32611520</v>
      </c>
      <c r="R72" s="63">
        <f t="shared" si="84"/>
        <v>45656160</v>
      </c>
      <c r="S72" s="282"/>
      <c r="T72" s="278"/>
      <c r="U72" s="276"/>
      <c r="V72" s="282"/>
      <c r="W72" s="278"/>
      <c r="X72" s="276"/>
      <c r="Y72" s="69">
        <v>0.24</v>
      </c>
      <c r="Z72" s="105">
        <v>0.24</v>
      </c>
      <c r="AA72" s="105">
        <f t="shared" si="85"/>
        <v>8.9999999999999969E-2</v>
      </c>
      <c r="AB72" s="105">
        <v>0.67</v>
      </c>
      <c r="AC72" s="71">
        <f>18*Z72/6</f>
        <v>0.72000000000000008</v>
      </c>
      <c r="AD72" s="72">
        <f t="shared" si="87"/>
        <v>0</v>
      </c>
      <c r="AE72" s="73">
        <f t="shared" si="88"/>
        <v>0.28000000000000003</v>
      </c>
      <c r="AF72" s="73">
        <f t="shared" si="89"/>
        <v>0.64</v>
      </c>
      <c r="AG72" s="73">
        <v>1</v>
      </c>
      <c r="AH72" s="73">
        <f t="shared" si="90"/>
        <v>1.36</v>
      </c>
      <c r="AI72" s="74">
        <f t="shared" si="91"/>
        <v>1.72</v>
      </c>
      <c r="AJ72" s="75">
        <v>4</v>
      </c>
      <c r="AK72" s="72">
        <f t="shared" si="92"/>
        <v>0</v>
      </c>
      <c r="AL72" s="73">
        <f>$AJ72*AE72</f>
        <v>1.1200000000000001</v>
      </c>
      <c r="AM72" s="73">
        <f>$AJ72*AF72</f>
        <v>2.56</v>
      </c>
      <c r="AN72" s="73">
        <f>$AJ72*AG72</f>
        <v>4</v>
      </c>
      <c r="AO72" s="73">
        <f>$AJ72*AH72</f>
        <v>5.44</v>
      </c>
      <c r="AP72" s="74">
        <f>$AJ72*AI72</f>
        <v>6.88</v>
      </c>
      <c r="AQ72" s="165">
        <f t="shared" si="93"/>
        <v>-0.17349999999999999</v>
      </c>
      <c r="AR72" s="80">
        <f t="shared" si="93"/>
        <v>-0.17</v>
      </c>
      <c r="AS72" s="80">
        <f t="shared" si="93"/>
        <v>-0.161</v>
      </c>
      <c r="AT72" s="80">
        <f t="shared" si="93"/>
        <v>-0.1497</v>
      </c>
      <c r="AU72" s="80">
        <f t="shared" si="93"/>
        <v>-0.1389</v>
      </c>
      <c r="AV72" s="81">
        <f t="shared" si="93"/>
        <v>-0.12970000000000001</v>
      </c>
      <c r="AW72" s="80">
        <f t="shared" si="93"/>
        <v>-0.1242</v>
      </c>
      <c r="AX72" s="80">
        <f t="shared" si="93"/>
        <v>-0.1057</v>
      </c>
      <c r="AY72" s="80">
        <f t="shared" si="93"/>
        <v>-7.4499999999999997E-2</v>
      </c>
      <c r="AZ72" s="80">
        <f t="shared" si="93"/>
        <v>-5.7299999999999997E-2</v>
      </c>
      <c r="BA72" s="80">
        <f t="shared" si="93"/>
        <v>-4.0099999999999997E-2</v>
      </c>
      <c r="BB72" s="80">
        <f t="shared" si="93"/>
        <v>-2.01E-2</v>
      </c>
      <c r="BC72" s="80">
        <f t="shared" si="93"/>
        <v>0</v>
      </c>
      <c r="BD72" s="82">
        <f t="shared" si="93"/>
        <v>3.0099999999999998E-2</v>
      </c>
      <c r="BE72" s="57" t="s">
        <v>56</v>
      </c>
    </row>
    <row r="73" spans="2:61" s="58" customFormat="1" ht="14" thickBot="1">
      <c r="B73" s="60"/>
      <c r="C73" s="60" t="s">
        <v>76</v>
      </c>
      <c r="D73" s="61">
        <v>19</v>
      </c>
      <c r="E73" s="61">
        <v>10.5</v>
      </c>
      <c r="F73" s="62"/>
      <c r="G73" s="62"/>
      <c r="H73" s="63"/>
      <c r="I73" s="342">
        <f>$J73*I$74</f>
        <v>28705088</v>
      </c>
      <c r="J73" s="107">
        <f>J72+(J72-J71)</f>
        <v>35881360</v>
      </c>
      <c r="K73" s="343">
        <f>$J73*K$74</f>
        <v>50233904</v>
      </c>
      <c r="L73" s="67"/>
      <c r="M73" s="106">
        <f>ROUNDUP(N73*0.8,-1)</f>
        <v>1794080</v>
      </c>
      <c r="N73" s="109">
        <f>ROUNDUP((J73-$L73)/16,-1)</f>
        <v>2242590</v>
      </c>
      <c r="O73" s="108">
        <f t="shared" si="95"/>
        <v>3139630</v>
      </c>
      <c r="P73" s="106">
        <f t="shared" si="96"/>
        <v>28705280</v>
      </c>
      <c r="Q73" s="109">
        <f t="shared" si="84"/>
        <v>35881440</v>
      </c>
      <c r="R73" s="110">
        <f t="shared" si="84"/>
        <v>50234080</v>
      </c>
      <c r="S73" s="282"/>
      <c r="T73" s="278"/>
      <c r="U73" s="276"/>
      <c r="V73" s="282"/>
      <c r="W73" s="278"/>
      <c r="X73" s="276"/>
      <c r="Y73" s="69">
        <f t="shared" ref="Y73:AB73" si="104">Y72+(Y72-Y71)</f>
        <v>0.25</v>
      </c>
      <c r="Z73" s="112">
        <f t="shared" si="104"/>
        <v>0.25</v>
      </c>
      <c r="AA73" s="112">
        <f t="shared" si="104"/>
        <v>7.999999999999996E-2</v>
      </c>
      <c r="AB73" s="112">
        <f t="shared" si="104"/>
        <v>0.67</v>
      </c>
      <c r="AC73" s="71">
        <f>AC72+(AC72-AC71)</f>
        <v>0.75000000000000011</v>
      </c>
      <c r="AD73" s="113">
        <f t="shared" si="87"/>
        <v>0</v>
      </c>
      <c r="AE73" s="114">
        <f t="shared" si="88"/>
        <v>0.25</v>
      </c>
      <c r="AF73" s="114">
        <f t="shared" si="89"/>
        <v>0.625</v>
      </c>
      <c r="AG73" s="114">
        <v>1</v>
      </c>
      <c r="AH73" s="114">
        <f t="shared" si="90"/>
        <v>1.375</v>
      </c>
      <c r="AI73" s="115">
        <f t="shared" si="91"/>
        <v>1.75</v>
      </c>
      <c r="AJ73" s="75">
        <v>4</v>
      </c>
      <c r="AK73" s="113">
        <f t="shared" si="92"/>
        <v>0</v>
      </c>
      <c r="AL73" s="114">
        <f t="shared" ref="AL73" si="105">AL72+(AL72-AL71)</f>
        <v>1</v>
      </c>
      <c r="AM73" s="114">
        <f>AM72+(AM72-AM71)</f>
        <v>2.5</v>
      </c>
      <c r="AN73" s="114">
        <f t="shared" ref="AN73:AP73" si="106">AN72+(AN72-AN71)</f>
        <v>4</v>
      </c>
      <c r="AO73" s="114">
        <f t="shared" si="106"/>
        <v>5.5</v>
      </c>
      <c r="AP73" s="115">
        <f t="shared" si="106"/>
        <v>7</v>
      </c>
      <c r="AQ73" s="344">
        <f t="shared" si="93"/>
        <v>-0.1759</v>
      </c>
      <c r="AR73" s="120">
        <f t="shared" si="93"/>
        <v>-0.17269999999999999</v>
      </c>
      <c r="AS73" s="120">
        <f t="shared" si="93"/>
        <v>-0.1646</v>
      </c>
      <c r="AT73" s="120">
        <f t="shared" si="93"/>
        <v>-0.15429999999999999</v>
      </c>
      <c r="AU73" s="120">
        <f t="shared" si="93"/>
        <v>-0.14449999999999999</v>
      </c>
      <c r="AV73" s="121">
        <f t="shared" si="93"/>
        <v>-0.1361</v>
      </c>
      <c r="AW73" s="122">
        <f t="shared" si="93"/>
        <v>-0.13109999999999999</v>
      </c>
      <c r="AX73" s="122">
        <f t="shared" si="93"/>
        <v>-0.1143</v>
      </c>
      <c r="AY73" s="122">
        <f t="shared" si="93"/>
        <v>-8.5999999999999993E-2</v>
      </c>
      <c r="AZ73" s="122">
        <f t="shared" si="93"/>
        <v>-7.0300000000000001E-2</v>
      </c>
      <c r="BA73" s="122">
        <f t="shared" si="93"/>
        <v>-5.4699999999999999E-2</v>
      </c>
      <c r="BB73" s="122">
        <f t="shared" si="93"/>
        <v>-3.6499999999999998E-2</v>
      </c>
      <c r="BC73" s="122">
        <f t="shared" si="93"/>
        <v>-1.8200000000000001E-2</v>
      </c>
      <c r="BD73" s="123">
        <f t="shared" si="93"/>
        <v>0</v>
      </c>
      <c r="BE73" s="57" t="s">
        <v>57</v>
      </c>
    </row>
    <row r="74" spans="2:61">
      <c r="B74" s="345"/>
      <c r="C74" s="345"/>
      <c r="D74" s="345"/>
      <c r="E74" s="345"/>
      <c r="F74" s="345"/>
      <c r="G74" s="345"/>
      <c r="H74" s="345"/>
      <c r="I74" s="346">
        <v>0.8</v>
      </c>
      <c r="J74" s="345"/>
      <c r="K74" s="346">
        <v>1.4</v>
      </c>
      <c r="L74" s="345"/>
      <c r="M74" s="345"/>
      <c r="N74" s="345"/>
    </row>
    <row r="75" spans="2:61">
      <c r="B75" s="345"/>
      <c r="C75" s="345"/>
      <c r="D75" s="345"/>
      <c r="E75" s="345"/>
      <c r="F75" s="345"/>
      <c r="G75" s="345"/>
      <c r="H75" s="345"/>
      <c r="I75" s="345"/>
      <c r="J75" s="345"/>
      <c r="K75" s="348"/>
      <c r="L75" s="345"/>
      <c r="M75" s="345"/>
      <c r="N75" s="345"/>
    </row>
    <row r="76" spans="2:61">
      <c r="B76" s="345"/>
      <c r="C76" s="345"/>
      <c r="D76" s="345"/>
      <c r="E76" s="345"/>
      <c r="F76" s="345"/>
      <c r="G76" s="345"/>
      <c r="H76" s="345"/>
      <c r="I76" s="345"/>
      <c r="J76" s="345"/>
      <c r="K76" s="345"/>
      <c r="L76" s="345"/>
      <c r="M76" s="345"/>
      <c r="N76" s="345"/>
    </row>
    <row r="77" spans="2:61">
      <c r="B77" s="345"/>
      <c r="C77" s="345"/>
      <c r="D77" s="349"/>
      <c r="E77" s="345"/>
      <c r="F77" s="349"/>
      <c r="H77" s="345"/>
      <c r="I77" s="349"/>
      <c r="K77" s="345"/>
      <c r="L77" s="350"/>
    </row>
    <row r="78" spans="2:61">
      <c r="B78" s="345"/>
      <c r="C78" s="345"/>
      <c r="D78" s="349"/>
      <c r="E78" s="345"/>
      <c r="F78" s="349"/>
      <c r="H78" s="345"/>
      <c r="I78" s="349"/>
      <c r="K78" s="345"/>
      <c r="L78" s="350"/>
    </row>
    <row r="79" spans="2:61">
      <c r="L79" s="350"/>
    </row>
    <row r="80" spans="2:61">
      <c r="B80" s="345"/>
      <c r="C80" s="345"/>
      <c r="D80" s="349"/>
      <c r="E80" s="345"/>
      <c r="F80" s="349"/>
      <c r="H80" s="345"/>
      <c r="I80" s="349"/>
      <c r="K80" s="345"/>
      <c r="L80" s="350"/>
    </row>
    <row r="81" spans="2:12">
      <c r="B81" s="345"/>
      <c r="C81" s="345"/>
      <c r="D81" s="349"/>
      <c r="E81" s="345"/>
      <c r="F81" s="349"/>
      <c r="H81" s="345"/>
      <c r="I81" s="349"/>
      <c r="K81" s="345"/>
      <c r="L81" s="350"/>
    </row>
    <row r="82" spans="2:12">
      <c r="B82" s="345"/>
      <c r="C82" s="345"/>
      <c r="D82" s="349"/>
      <c r="E82" s="345"/>
      <c r="F82" s="349"/>
      <c r="H82" s="345"/>
      <c r="I82" s="349"/>
      <c r="K82" s="345"/>
      <c r="L82" s="350"/>
    </row>
    <row r="83" spans="2:12">
      <c r="B83" s="345"/>
      <c r="C83" s="345"/>
      <c r="D83" s="349"/>
      <c r="E83" s="345"/>
      <c r="F83" s="349"/>
      <c r="H83" s="345"/>
      <c r="I83" s="349"/>
      <c r="K83" s="345"/>
      <c r="L83" s="350"/>
    </row>
    <row r="84" spans="2:12">
      <c r="B84" s="345"/>
      <c r="C84" s="345"/>
      <c r="D84" s="349"/>
      <c r="E84" s="345"/>
      <c r="F84" s="349"/>
      <c r="H84" s="345"/>
      <c r="I84" s="349"/>
      <c r="K84" s="345"/>
      <c r="L84" s="350"/>
    </row>
    <row r="85" spans="2:12">
      <c r="B85" s="345"/>
      <c r="C85" s="345"/>
      <c r="D85" s="349"/>
      <c r="E85" s="345"/>
      <c r="F85" s="349"/>
      <c r="H85" s="345"/>
      <c r="I85" s="349"/>
      <c r="K85" s="345"/>
      <c r="L85" s="350"/>
    </row>
    <row r="86" spans="2:12">
      <c r="B86" s="345"/>
      <c r="C86" s="345"/>
      <c r="D86" s="349"/>
      <c r="E86" s="345"/>
      <c r="F86" s="349"/>
      <c r="H86" s="345"/>
      <c r="I86" s="349"/>
      <c r="K86" s="345"/>
      <c r="L86" s="350"/>
    </row>
    <row r="87" spans="2:12">
      <c r="B87" s="351"/>
      <c r="C87" s="351"/>
      <c r="D87" s="352"/>
      <c r="E87" s="351"/>
      <c r="F87" s="352"/>
      <c r="H87" s="351"/>
      <c r="I87" s="352"/>
    </row>
    <row r="88" spans="2:12">
      <c r="B88" s="345"/>
      <c r="C88" s="345"/>
      <c r="D88" s="349"/>
      <c r="E88" s="345"/>
      <c r="F88" s="349"/>
      <c r="H88" s="345"/>
      <c r="I88" s="349"/>
      <c r="K88" s="345"/>
      <c r="L88" s="350"/>
    </row>
    <row r="89" spans="2:12">
      <c r="B89" s="345"/>
      <c r="C89" s="345"/>
      <c r="D89" s="349"/>
      <c r="E89" s="345"/>
      <c r="F89" s="349"/>
      <c r="H89" s="345"/>
      <c r="I89" s="349"/>
      <c r="K89" s="345"/>
      <c r="L89" s="350"/>
    </row>
    <row r="90" spans="2:12">
      <c r="B90" s="345"/>
      <c r="C90" s="345"/>
      <c r="D90" s="349"/>
      <c r="E90" s="345"/>
      <c r="F90" s="349"/>
      <c r="H90" s="345"/>
      <c r="I90" s="349"/>
      <c r="K90" s="345"/>
      <c r="L90" s="350"/>
    </row>
    <row r="91" spans="2:12">
      <c r="B91" s="345"/>
      <c r="C91" s="345"/>
      <c r="D91" s="349"/>
      <c r="E91" s="345"/>
      <c r="F91" s="349"/>
      <c r="H91" s="345"/>
      <c r="I91" s="349"/>
      <c r="K91" s="345"/>
      <c r="L91" s="350"/>
    </row>
    <row r="92" spans="2:12">
      <c r="B92" s="345"/>
      <c r="C92" s="345"/>
      <c r="D92" s="349"/>
      <c r="E92" s="345"/>
      <c r="F92" s="349"/>
      <c r="H92" s="345"/>
      <c r="I92" s="349"/>
      <c r="K92" s="345"/>
      <c r="L92" s="350"/>
    </row>
    <row r="93" spans="2:12">
      <c r="B93" s="345"/>
      <c r="C93" s="345"/>
      <c r="D93" s="349"/>
      <c r="E93" s="345"/>
      <c r="F93" s="349"/>
      <c r="H93" s="345"/>
      <c r="I93" s="349"/>
      <c r="K93" s="345"/>
      <c r="L93" s="350"/>
    </row>
    <row r="94" spans="2:12">
      <c r="B94" s="345"/>
      <c r="C94" s="345"/>
      <c r="D94" s="349"/>
      <c r="E94" s="345"/>
      <c r="F94" s="349"/>
      <c r="H94" s="345"/>
      <c r="I94" s="349"/>
      <c r="K94" s="345"/>
      <c r="L94" s="350"/>
    </row>
    <row r="95" spans="2:12">
      <c r="B95" s="351"/>
      <c r="C95" s="351"/>
      <c r="D95" s="352"/>
      <c r="E95" s="351"/>
      <c r="F95" s="352"/>
      <c r="H95" s="351"/>
      <c r="I95" s="352"/>
    </row>
    <row r="96" spans="2:12">
      <c r="B96" s="345"/>
      <c r="C96" s="345"/>
      <c r="D96" s="349"/>
      <c r="E96" s="345"/>
      <c r="F96" s="349"/>
      <c r="H96" s="345"/>
      <c r="I96" s="349"/>
      <c r="L96" s="353"/>
    </row>
    <row r="97" spans="2:12">
      <c r="B97" s="345"/>
      <c r="C97" s="345"/>
      <c r="D97" s="349"/>
      <c r="E97" s="345"/>
      <c r="F97" s="349"/>
      <c r="H97" s="345"/>
      <c r="I97" s="349"/>
      <c r="L97" s="353"/>
    </row>
    <row r="98" spans="2:12">
      <c r="B98" s="345"/>
      <c r="C98" s="345"/>
      <c r="D98" s="349"/>
      <c r="E98" s="345"/>
      <c r="F98" s="349"/>
      <c r="H98" s="345"/>
      <c r="I98" s="349"/>
      <c r="L98" s="353"/>
    </row>
    <row r="99" spans="2:12">
      <c r="B99" s="345"/>
      <c r="C99" s="345"/>
      <c r="D99" s="349"/>
      <c r="E99" s="345"/>
      <c r="F99" s="349"/>
      <c r="H99" s="345"/>
      <c r="I99" s="349"/>
      <c r="L99" s="353"/>
    </row>
    <row r="100" spans="2:12">
      <c r="B100" s="345"/>
      <c r="C100" s="345"/>
      <c r="D100" s="349"/>
      <c r="E100" s="345"/>
      <c r="F100" s="349"/>
      <c r="H100" s="345"/>
      <c r="I100" s="349"/>
      <c r="L100" s="353"/>
    </row>
    <row r="101" spans="2:12">
      <c r="B101" s="345"/>
      <c r="C101" s="345"/>
      <c r="D101" s="349"/>
      <c r="E101" s="345"/>
      <c r="F101" s="349"/>
      <c r="H101" s="345"/>
      <c r="I101" s="349"/>
      <c r="L101" s="353"/>
    </row>
    <row r="102" spans="2:12">
      <c r="B102" s="345"/>
      <c r="C102" s="345"/>
      <c r="D102" s="349"/>
      <c r="E102" s="345"/>
      <c r="F102" s="349"/>
      <c r="H102" s="345"/>
      <c r="I102" s="349"/>
      <c r="L102" s="353"/>
    </row>
    <row r="103" spans="2:12">
      <c r="B103" s="351"/>
      <c r="C103" s="351"/>
      <c r="D103" s="352"/>
      <c r="E103" s="351"/>
      <c r="F103" s="352"/>
      <c r="H103" s="351"/>
      <c r="I103" s="352"/>
      <c r="L103" s="353"/>
    </row>
    <row r="104" spans="2:12">
      <c r="B104" s="345"/>
      <c r="C104" s="345"/>
      <c r="D104" s="349"/>
      <c r="E104" s="345"/>
      <c r="F104" s="349"/>
      <c r="H104" s="345"/>
      <c r="I104" s="349"/>
      <c r="L104" s="353"/>
    </row>
    <row r="105" spans="2:12">
      <c r="B105" s="345"/>
      <c r="C105" s="345"/>
      <c r="D105" s="349"/>
      <c r="E105" s="345"/>
      <c r="F105" s="349"/>
      <c r="H105" s="345"/>
      <c r="I105" s="349"/>
      <c r="L105" s="353"/>
    </row>
    <row r="106" spans="2:12">
      <c r="B106" s="345"/>
      <c r="C106" s="345"/>
      <c r="D106" s="349"/>
      <c r="E106" s="345"/>
      <c r="F106" s="349"/>
      <c r="H106" s="345"/>
      <c r="I106" s="349"/>
      <c r="L106" s="353"/>
    </row>
    <row r="107" spans="2:12">
      <c r="B107" s="345"/>
      <c r="C107" s="345"/>
      <c r="D107" s="349"/>
      <c r="E107" s="345"/>
      <c r="F107" s="349"/>
      <c r="H107" s="345"/>
      <c r="I107" s="349"/>
      <c r="L107" s="353"/>
    </row>
    <row r="108" spans="2:12">
      <c r="B108" s="345"/>
      <c r="C108" s="345"/>
      <c r="D108" s="349"/>
      <c r="E108" s="345"/>
      <c r="F108" s="349"/>
      <c r="H108" s="345"/>
      <c r="I108" s="349"/>
      <c r="L108" s="353"/>
    </row>
    <row r="109" spans="2:12">
      <c r="B109" s="345"/>
      <c r="C109" s="345"/>
      <c r="D109" s="349"/>
      <c r="E109" s="345"/>
      <c r="F109" s="349"/>
      <c r="H109" s="345"/>
      <c r="I109" s="349"/>
      <c r="L109" s="353"/>
    </row>
    <row r="110" spans="2:12">
      <c r="B110" s="345"/>
      <c r="C110" s="345"/>
      <c r="D110" s="349"/>
      <c r="E110" s="345"/>
      <c r="F110" s="349"/>
      <c r="H110" s="345"/>
      <c r="I110" s="349"/>
      <c r="L110" s="353"/>
    </row>
    <row r="111" spans="2:12">
      <c r="L111" s="353"/>
    </row>
    <row r="112" spans="2:12">
      <c r="B112" s="345"/>
      <c r="C112" s="345"/>
      <c r="D112" s="349"/>
      <c r="E112" s="345"/>
      <c r="F112" s="349"/>
      <c r="H112" s="345"/>
      <c r="I112" s="349"/>
      <c r="L112" s="353"/>
    </row>
    <row r="113" spans="2:12">
      <c r="B113" s="345"/>
      <c r="C113" s="345"/>
      <c r="D113" s="349"/>
      <c r="E113" s="345"/>
      <c r="F113" s="349"/>
      <c r="H113" s="345"/>
      <c r="I113" s="349"/>
      <c r="L113" s="353"/>
    </row>
    <row r="114" spans="2:12">
      <c r="B114" s="345"/>
      <c r="C114" s="345"/>
      <c r="D114" s="349"/>
      <c r="E114" s="345"/>
      <c r="F114" s="349"/>
      <c r="H114" s="345"/>
      <c r="I114" s="349"/>
      <c r="L114" s="353"/>
    </row>
    <row r="115" spans="2:12">
      <c r="B115" s="345"/>
      <c r="C115" s="345"/>
      <c r="D115" s="349"/>
      <c r="E115" s="345"/>
      <c r="F115" s="349"/>
      <c r="H115" s="345"/>
      <c r="I115" s="349"/>
      <c r="L115" s="353"/>
    </row>
    <row r="116" spans="2:12">
      <c r="B116" s="345"/>
      <c r="C116" s="345"/>
      <c r="D116" s="349"/>
      <c r="E116" s="345"/>
      <c r="F116" s="349"/>
      <c r="H116" s="345"/>
      <c r="I116" s="349"/>
      <c r="L116" s="353"/>
    </row>
    <row r="117" spans="2:12">
      <c r="B117" s="345"/>
      <c r="C117" s="345"/>
      <c r="D117" s="349"/>
      <c r="E117" s="345"/>
      <c r="F117" s="349"/>
      <c r="H117" s="345"/>
      <c r="I117" s="349"/>
      <c r="L117" s="353"/>
    </row>
    <row r="118" spans="2:12">
      <c r="B118" s="345"/>
      <c r="C118" s="345"/>
      <c r="D118" s="349"/>
      <c r="E118" s="345"/>
      <c r="F118" s="349"/>
      <c r="H118" s="345"/>
      <c r="I118" s="349"/>
      <c r="L118" s="353"/>
    </row>
    <row r="119" spans="2:12">
      <c r="B119" s="351"/>
      <c r="C119" s="351"/>
      <c r="D119" s="352"/>
      <c r="E119" s="351"/>
      <c r="F119" s="352"/>
      <c r="H119" s="351"/>
      <c r="I119" s="352"/>
      <c r="L119" s="353"/>
    </row>
    <row r="120" spans="2:12">
      <c r="B120" s="345"/>
      <c r="C120" s="345"/>
      <c r="D120" s="349"/>
      <c r="E120" s="345"/>
      <c r="F120" s="349"/>
      <c r="H120" s="345"/>
      <c r="I120" s="349"/>
      <c r="L120" s="353"/>
    </row>
    <row r="121" spans="2:12">
      <c r="B121" s="345"/>
      <c r="C121" s="345"/>
      <c r="D121" s="349"/>
      <c r="E121" s="345"/>
      <c r="F121" s="349"/>
      <c r="H121" s="345"/>
      <c r="I121" s="349"/>
      <c r="L121" s="353"/>
    </row>
    <row r="122" spans="2:12">
      <c r="B122" s="345"/>
      <c r="C122" s="345"/>
      <c r="D122" s="349"/>
      <c r="E122" s="345"/>
      <c r="F122" s="349"/>
      <c r="H122" s="345"/>
      <c r="I122" s="349"/>
      <c r="L122" s="353"/>
    </row>
    <row r="123" spans="2:12">
      <c r="B123" s="345"/>
      <c r="C123" s="345"/>
      <c r="D123" s="349"/>
      <c r="E123" s="345"/>
      <c r="F123" s="349"/>
      <c r="H123" s="345"/>
      <c r="I123" s="349"/>
      <c r="L123" s="353"/>
    </row>
    <row r="124" spans="2:12">
      <c r="B124" s="345"/>
      <c r="C124" s="345"/>
      <c r="D124" s="349"/>
      <c r="E124" s="345"/>
      <c r="F124" s="349"/>
      <c r="H124" s="345"/>
      <c r="I124" s="349"/>
      <c r="L124" s="353"/>
    </row>
    <row r="125" spans="2:12">
      <c r="B125" s="345"/>
      <c r="C125" s="345"/>
      <c r="D125" s="349"/>
      <c r="E125" s="345"/>
      <c r="F125" s="349"/>
      <c r="H125" s="345"/>
      <c r="I125" s="349"/>
      <c r="L125" s="353"/>
    </row>
    <row r="126" spans="2:12">
      <c r="B126" s="345"/>
      <c r="C126" s="345"/>
      <c r="D126" s="349"/>
      <c r="E126" s="345"/>
      <c r="F126" s="349"/>
      <c r="H126" s="345"/>
      <c r="I126" s="349"/>
      <c r="L126" s="353"/>
    </row>
    <row r="127" spans="2:12">
      <c r="B127" s="351"/>
      <c r="C127" s="351"/>
      <c r="D127" s="352"/>
      <c r="E127" s="351"/>
      <c r="F127" s="352"/>
      <c r="H127" s="351"/>
      <c r="I127" s="352"/>
      <c r="L127" s="353"/>
    </row>
    <row r="128" spans="2:12">
      <c r="B128" s="345"/>
      <c r="C128" s="345"/>
      <c r="D128" s="349"/>
      <c r="E128" s="345"/>
      <c r="F128" s="349"/>
      <c r="H128" s="345"/>
      <c r="I128" s="349"/>
      <c r="L128" s="353"/>
    </row>
    <row r="129" spans="2:12">
      <c r="B129" s="345"/>
      <c r="C129" s="345"/>
      <c r="D129" s="349"/>
      <c r="E129" s="345"/>
      <c r="F129" s="349"/>
      <c r="H129" s="345"/>
      <c r="I129" s="349"/>
      <c r="L129" s="353"/>
    </row>
    <row r="130" spans="2:12">
      <c r="B130" s="345"/>
      <c r="C130" s="345"/>
      <c r="D130" s="349"/>
      <c r="E130" s="345"/>
      <c r="F130" s="349"/>
      <c r="H130" s="345"/>
      <c r="I130" s="349"/>
      <c r="L130" s="353"/>
    </row>
    <row r="131" spans="2:12">
      <c r="B131" s="345"/>
      <c r="C131" s="345"/>
      <c r="D131" s="349"/>
      <c r="E131" s="345"/>
      <c r="F131" s="349"/>
      <c r="H131" s="345"/>
      <c r="I131" s="349"/>
      <c r="L131" s="353"/>
    </row>
    <row r="132" spans="2:12">
      <c r="B132" s="345"/>
      <c r="C132" s="345"/>
      <c r="D132" s="349"/>
      <c r="E132" s="345"/>
      <c r="F132" s="349"/>
      <c r="H132" s="345"/>
      <c r="I132" s="349"/>
      <c r="L132" s="353"/>
    </row>
    <row r="133" spans="2:12">
      <c r="B133" s="345"/>
      <c r="C133" s="345"/>
      <c r="D133" s="349"/>
      <c r="E133" s="345"/>
      <c r="F133" s="349"/>
      <c r="H133" s="345"/>
      <c r="I133" s="349"/>
      <c r="L133" s="353"/>
    </row>
    <row r="134" spans="2:12">
      <c r="B134" s="345"/>
      <c r="C134" s="345"/>
      <c r="D134" s="349"/>
      <c r="E134" s="345"/>
      <c r="F134" s="349"/>
      <c r="H134" s="345"/>
      <c r="I134" s="349"/>
      <c r="L134" s="353"/>
    </row>
    <row r="135" spans="2:12">
      <c r="L135" s="353"/>
    </row>
    <row r="136" spans="2:12">
      <c r="L136" s="353"/>
    </row>
    <row r="137" spans="2:12">
      <c r="L137" s="353"/>
    </row>
    <row r="138" spans="2:12">
      <c r="L138" s="353"/>
    </row>
    <row r="139" spans="2:12">
      <c r="L139" s="353"/>
    </row>
    <row r="140" spans="2:12">
      <c r="L140" s="353"/>
    </row>
    <row r="141" spans="2:12">
      <c r="L141" s="353"/>
    </row>
    <row r="142" spans="2:12">
      <c r="L142" s="353"/>
    </row>
    <row r="143" spans="2:12">
      <c r="J143" s="353"/>
    </row>
    <row r="144" spans="2:12">
      <c r="J144" s="353"/>
    </row>
    <row r="145" spans="10:10">
      <c r="J145" s="353"/>
    </row>
    <row r="146" spans="10:10">
      <c r="J146" s="353"/>
    </row>
    <row r="147" spans="10:10">
      <c r="J147" s="353"/>
    </row>
    <row r="148" spans="10:10">
      <c r="J148" s="353"/>
    </row>
    <row r="149" spans="10:10">
      <c r="J149" s="353"/>
    </row>
    <row r="150" spans="10:10">
      <c r="J150" s="353"/>
    </row>
    <row r="151" spans="10:10">
      <c r="J151" s="353"/>
    </row>
    <row r="152" spans="10:10">
      <c r="J152" s="353"/>
    </row>
    <row r="153" spans="10:10">
      <c r="J153" s="353"/>
    </row>
    <row r="154" spans="10:10">
      <c r="J154" s="353"/>
    </row>
    <row r="155" spans="10:10">
      <c r="J155" s="353"/>
    </row>
    <row r="156" spans="10:10">
      <c r="J156" s="353"/>
    </row>
    <row r="157" spans="10:10">
      <c r="J157" s="353"/>
    </row>
    <row r="158" spans="10:10">
      <c r="J158" s="353"/>
    </row>
    <row r="159" spans="10:10">
      <c r="J159" s="353"/>
    </row>
    <row r="160" spans="10:10">
      <c r="J160" s="353"/>
    </row>
    <row r="161" spans="10:10">
      <c r="J161" s="353"/>
    </row>
    <row r="162" spans="10:10">
      <c r="J162" s="353"/>
    </row>
    <row r="163" spans="10:10">
      <c r="J163" s="353"/>
    </row>
    <row r="164" spans="10:10">
      <c r="J164" s="353"/>
    </row>
    <row r="165" spans="10:10">
      <c r="J165" s="353"/>
    </row>
  </sheetData>
  <phoneticPr fontId="21" type="noConversion"/>
  <conditionalFormatting sqref="AQ9:BD28">
    <cfRule type="cellIs" dxfId="6" priority="8" operator="equal">
      <formula>0</formula>
    </cfRule>
  </conditionalFormatting>
  <conditionalFormatting sqref="AQ52:BD60">
    <cfRule type="cellIs" dxfId="5" priority="4" operator="equal">
      <formula>0</formula>
    </cfRule>
  </conditionalFormatting>
  <conditionalFormatting sqref="AQ64:BD73">
    <cfRule type="cellIs" dxfId="4" priority="1" operator="equal">
      <formula>0</formula>
    </cfRule>
  </conditionalFormatting>
  <conditionalFormatting sqref="AQ33:BF48">
    <cfRule type="cellIs" dxfId="3" priority="9" operator="equal">
      <formula>0</formula>
    </cfRule>
  </conditionalFormatting>
  <conditionalFormatting sqref="AX32:BF32">
    <cfRule type="cellIs" dxfId="2" priority="6" operator="equal">
      <formula>0</formula>
    </cfRule>
  </conditionalFormatting>
  <pageMargins left="0.7" right="0.7" top="0.75" bottom="0.75" header="0.3" footer="0.3"/>
  <headerFooter>
    <oddFooter>&amp;L_x000D_&amp;1#&amp;"Calibri"&amp;10&amp;K317100 Internal</oddFooter>
  </headerFooter>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073E0-1FA9-42F1-AE19-C12F4CDE74BD}">
  <dimension ref="B2:I16"/>
  <sheetViews>
    <sheetView workbookViewId="0">
      <selection activeCell="Q14" sqref="Q14"/>
    </sheetView>
  </sheetViews>
  <sheetFormatPr defaultRowHeight="13"/>
  <cols>
    <col min="1" max="1" width="6.26953125" customWidth="1"/>
    <col min="2" max="2" width="24.81640625" customWidth="1"/>
    <col min="3" max="3" width="32.7265625" customWidth="1"/>
    <col min="4" max="4" width="3.54296875" customWidth="1"/>
    <col min="5" max="5" width="14" customWidth="1"/>
    <col min="6" max="6" width="2.7265625" customWidth="1"/>
    <col min="7" max="7" width="19.08984375" customWidth="1"/>
    <col min="8" max="8" width="3.08984375" customWidth="1"/>
  </cols>
  <sheetData>
    <row r="2" spans="2:9" ht="14" thickBot="1">
      <c r="B2" t="s">
        <v>126</v>
      </c>
      <c r="C2" t="s">
        <v>147</v>
      </c>
      <c r="E2" s="22" t="s">
        <v>22</v>
      </c>
      <c r="G2" s="22" t="s">
        <v>127</v>
      </c>
      <c r="I2" s="417" t="s">
        <v>212</v>
      </c>
    </row>
    <row r="3" spans="2:9" ht="16.5" thickTop="1">
      <c r="B3" t="s">
        <v>114</v>
      </c>
      <c r="C3" t="s">
        <v>148</v>
      </c>
      <c r="E3" s="35" t="s">
        <v>44</v>
      </c>
      <c r="G3" s="35" t="s">
        <v>84</v>
      </c>
      <c r="I3" s="419" t="s">
        <v>181</v>
      </c>
    </row>
    <row r="4" spans="2:9" ht="16">
      <c r="B4" t="s">
        <v>115</v>
      </c>
      <c r="C4" t="s">
        <v>149</v>
      </c>
      <c r="E4" s="60" t="s">
        <v>60</v>
      </c>
      <c r="G4" s="60" t="s">
        <v>85</v>
      </c>
      <c r="I4" s="418" t="s">
        <v>200</v>
      </c>
    </row>
    <row r="5" spans="2:9" ht="16">
      <c r="B5" t="s">
        <v>116</v>
      </c>
      <c r="C5" t="s">
        <v>150</v>
      </c>
      <c r="E5" s="60" t="s">
        <v>46</v>
      </c>
      <c r="G5" s="60" t="s">
        <v>86</v>
      </c>
      <c r="I5" s="418" t="s">
        <v>198</v>
      </c>
    </row>
    <row r="6" spans="2:9" ht="16">
      <c r="B6" t="s">
        <v>131</v>
      </c>
      <c r="C6" t="s">
        <v>152</v>
      </c>
      <c r="E6" s="60" t="s">
        <v>47</v>
      </c>
      <c r="G6" s="60" t="s">
        <v>87</v>
      </c>
      <c r="I6" s="418" t="s">
        <v>196</v>
      </c>
    </row>
    <row r="7" spans="2:9" ht="16">
      <c r="B7" t="s">
        <v>132</v>
      </c>
      <c r="C7" t="s">
        <v>151</v>
      </c>
      <c r="E7" s="60" t="s">
        <v>67</v>
      </c>
      <c r="G7" s="60" t="s">
        <v>88</v>
      </c>
      <c r="I7" s="418" t="s">
        <v>185</v>
      </c>
    </row>
    <row r="8" spans="2:9" ht="16">
      <c r="B8" s="356" t="s">
        <v>114</v>
      </c>
      <c r="C8" t="s">
        <v>148</v>
      </c>
      <c r="E8" s="84" t="s">
        <v>49</v>
      </c>
      <c r="G8" s="60" t="s">
        <v>89</v>
      </c>
      <c r="I8" s="418" t="s">
        <v>194</v>
      </c>
    </row>
    <row r="9" spans="2:9" ht="14">
      <c r="E9" s="60" t="s">
        <v>71</v>
      </c>
      <c r="G9" s="60" t="s">
        <v>90</v>
      </c>
    </row>
    <row r="10" spans="2:9" ht="14">
      <c r="B10" t="s">
        <v>213</v>
      </c>
      <c r="E10" s="60" t="s">
        <v>51</v>
      </c>
    </row>
    <row r="11" spans="2:9" ht="14">
      <c r="B11" t="s">
        <v>214</v>
      </c>
      <c r="E11" s="60" t="s">
        <v>52</v>
      </c>
    </row>
    <row r="12" spans="2:9" ht="14">
      <c r="E12" s="60" t="s">
        <v>53</v>
      </c>
    </row>
    <row r="13" spans="2:9" ht="14">
      <c r="E13" s="60" t="s">
        <v>54</v>
      </c>
    </row>
    <row r="14" spans="2:9" ht="14">
      <c r="E14" s="60" t="s">
        <v>55</v>
      </c>
    </row>
    <row r="15" spans="2:9" ht="14">
      <c r="E15" s="60" t="s">
        <v>56</v>
      </c>
    </row>
    <row r="16" spans="2:9" ht="14">
      <c r="E16" s="60" t="s">
        <v>76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9BA20-0EE5-4F37-A020-ECD7A73358E6}">
  <dimension ref="B1:AC43"/>
  <sheetViews>
    <sheetView workbookViewId="0">
      <selection activeCell="Q14" sqref="Q14"/>
    </sheetView>
  </sheetViews>
  <sheetFormatPr defaultColWidth="8.6328125" defaultRowHeight="16"/>
  <cols>
    <col min="1" max="1" width="2.36328125" style="358" customWidth="1"/>
    <col min="2" max="2" width="3.7265625" style="358" customWidth="1"/>
    <col min="3" max="3" width="8.7265625" style="358" customWidth="1"/>
    <col min="4" max="4" width="10.453125" style="358" customWidth="1"/>
    <col min="5" max="5" width="8.81640625" style="358" customWidth="1"/>
    <col min="6" max="6" width="9" style="358" customWidth="1"/>
    <col min="7" max="7" width="9.36328125" style="358" customWidth="1"/>
    <col min="8" max="20" width="10.453125" style="358" customWidth="1"/>
    <col min="21" max="27" width="8.6328125" style="358"/>
    <col min="28" max="28" width="5.26953125" style="358" customWidth="1"/>
    <col min="29" max="29" width="11.36328125" style="358" customWidth="1"/>
    <col min="30" max="16384" width="8.6328125" style="358"/>
  </cols>
  <sheetData>
    <row r="1" spans="2:29">
      <c r="E1" s="359">
        <v>1</v>
      </c>
      <c r="F1" s="359">
        <v>2</v>
      </c>
      <c r="G1" s="359">
        <v>3</v>
      </c>
      <c r="H1" s="359">
        <v>4</v>
      </c>
      <c r="I1" s="359">
        <v>5</v>
      </c>
      <c r="J1" s="359">
        <v>6</v>
      </c>
      <c r="K1" s="359">
        <v>7</v>
      </c>
      <c r="L1" s="359">
        <v>8</v>
      </c>
      <c r="M1" s="359">
        <v>9</v>
      </c>
      <c r="N1" s="359">
        <v>10</v>
      </c>
      <c r="O1" s="359">
        <v>11</v>
      </c>
      <c r="P1" s="359">
        <v>12</v>
      </c>
      <c r="Q1" s="359">
        <v>13</v>
      </c>
      <c r="R1" s="359">
        <v>14</v>
      </c>
      <c r="S1" s="359">
        <v>15</v>
      </c>
      <c r="T1" s="359">
        <v>16</v>
      </c>
      <c r="U1" s="359">
        <v>17</v>
      </c>
      <c r="V1" s="359">
        <v>18</v>
      </c>
      <c r="W1" s="359">
        <v>19</v>
      </c>
      <c r="X1" s="359">
        <v>20</v>
      </c>
      <c r="Y1" s="359">
        <v>21</v>
      </c>
      <c r="Z1" s="359">
        <v>22</v>
      </c>
      <c r="AA1" s="359">
        <v>23</v>
      </c>
      <c r="AB1" s="359">
        <v>24</v>
      </c>
      <c r="AC1" s="359">
        <v>25</v>
      </c>
    </row>
    <row r="2" spans="2:29" ht="17.5">
      <c r="B2" s="360" t="s">
        <v>161</v>
      </c>
      <c r="I2" s="361" t="s">
        <v>162</v>
      </c>
      <c r="U2" s="362" t="s">
        <v>163</v>
      </c>
      <c r="V2" s="362" t="s">
        <v>164</v>
      </c>
    </row>
    <row r="3" spans="2:29">
      <c r="I3" s="363" t="s">
        <v>165</v>
      </c>
      <c r="U3" s="364">
        <v>0.3</v>
      </c>
      <c r="V3" s="364">
        <v>0.2</v>
      </c>
    </row>
    <row r="4" spans="2:29">
      <c r="U4" s="365">
        <f t="shared" ref="U4:AA4" si="0">_xlfn.XLOOKUP(U6,$E$15:$E$21,$R$15:$R$21,0)</f>
        <v>3056400</v>
      </c>
      <c r="V4" s="365">
        <f t="shared" si="0"/>
        <v>3645360</v>
      </c>
      <c r="W4" s="365">
        <f t="shared" si="0"/>
        <v>4443480</v>
      </c>
      <c r="X4" s="365">
        <f t="shared" si="0"/>
        <v>4644900</v>
      </c>
      <c r="Y4" s="365">
        <f t="shared" si="0"/>
        <v>5249160</v>
      </c>
      <c r="Z4" s="365">
        <f t="shared" si="0"/>
        <v>6720480</v>
      </c>
      <c r="AA4" s="365">
        <f t="shared" si="0"/>
        <v>8864460</v>
      </c>
    </row>
    <row r="5" spans="2:29">
      <c r="F5" s="361"/>
      <c r="G5" s="361"/>
      <c r="H5" s="366" t="s">
        <v>166</v>
      </c>
      <c r="I5" s="367"/>
      <c r="J5" s="367"/>
      <c r="K5" s="368"/>
      <c r="L5" s="369"/>
      <c r="M5" s="366" t="s">
        <v>167</v>
      </c>
      <c r="N5" s="367"/>
      <c r="O5" s="367"/>
      <c r="P5" s="367"/>
      <c r="Q5" s="366" t="s">
        <v>168</v>
      </c>
      <c r="R5" s="367"/>
      <c r="S5" s="367"/>
      <c r="T5" s="368"/>
      <c r="U5" s="370" t="s">
        <v>169</v>
      </c>
      <c r="V5" s="370"/>
      <c r="W5" s="370"/>
      <c r="X5" s="370"/>
      <c r="Y5" s="370"/>
      <c r="Z5" s="370"/>
      <c r="AA5" s="370"/>
    </row>
    <row r="6" spans="2:29" s="371" customFormat="1" ht="16.5" thickBot="1">
      <c r="D6" s="372" t="s">
        <v>170</v>
      </c>
      <c r="E6" s="373" t="s">
        <v>171</v>
      </c>
      <c r="F6" s="374" t="s">
        <v>172</v>
      </c>
      <c r="G6" s="374" t="s">
        <v>173</v>
      </c>
      <c r="H6" s="375" t="s">
        <v>27</v>
      </c>
      <c r="I6" s="374" t="s">
        <v>174</v>
      </c>
      <c r="J6" s="374" t="s">
        <v>29</v>
      </c>
      <c r="K6" s="376" t="s">
        <v>175</v>
      </c>
      <c r="L6" s="374" t="s">
        <v>176</v>
      </c>
      <c r="M6" s="375" t="s">
        <v>177</v>
      </c>
      <c r="N6" s="374" t="s">
        <v>178</v>
      </c>
      <c r="O6" s="374" t="s">
        <v>179</v>
      </c>
      <c r="P6" s="374" t="s">
        <v>180</v>
      </c>
      <c r="Q6" s="375" t="s">
        <v>177</v>
      </c>
      <c r="R6" s="374" t="s">
        <v>178</v>
      </c>
      <c r="S6" s="374" t="s">
        <v>179</v>
      </c>
      <c r="T6" s="376" t="s">
        <v>180</v>
      </c>
      <c r="U6" s="374" t="s">
        <v>181</v>
      </c>
      <c r="V6" s="374" t="s">
        <v>182</v>
      </c>
      <c r="W6" s="374" t="s">
        <v>183</v>
      </c>
      <c r="X6" s="374" t="s">
        <v>184</v>
      </c>
      <c r="Y6" s="374" t="s">
        <v>185</v>
      </c>
      <c r="Z6" s="374" t="s">
        <v>186</v>
      </c>
      <c r="AA6" s="377" t="s">
        <v>187</v>
      </c>
      <c r="AC6" s="378" t="s">
        <v>188</v>
      </c>
    </row>
    <row r="7" spans="2:29" ht="16.5" thickTop="1">
      <c r="C7" s="358" t="s">
        <v>189</v>
      </c>
      <c r="D7" s="379" t="s">
        <v>190</v>
      </c>
      <c r="E7" s="380" t="s">
        <v>187</v>
      </c>
      <c r="F7" s="381" t="s">
        <v>191</v>
      </c>
      <c r="G7" s="382">
        <v>0.2</v>
      </c>
      <c r="H7" s="383">
        <f>H15</f>
        <v>7330000</v>
      </c>
      <c r="I7" s="384">
        <f t="shared" ref="I7:J7" si="1">I15</f>
        <v>8864351</v>
      </c>
      <c r="J7" s="384">
        <f t="shared" si="1"/>
        <v>10637221.199999999</v>
      </c>
      <c r="K7" s="385"/>
      <c r="L7" s="386"/>
      <c r="M7" s="383">
        <f t="shared" ref="M7:O7" si="2">M15</f>
        <v>407230</v>
      </c>
      <c r="N7" s="384">
        <f t="shared" si="2"/>
        <v>492470</v>
      </c>
      <c r="O7" s="384">
        <f t="shared" si="2"/>
        <v>590970</v>
      </c>
      <c r="P7" s="381"/>
      <c r="Q7" s="387">
        <f t="shared" ref="Q7:S7" si="3">Q15</f>
        <v>7330140</v>
      </c>
      <c r="R7" s="384">
        <f t="shared" si="3"/>
        <v>8864460</v>
      </c>
      <c r="S7" s="384">
        <f t="shared" si="3"/>
        <v>10637460</v>
      </c>
      <c r="T7" s="385"/>
      <c r="U7" s="388">
        <f t="shared" ref="U7:AA13" si="4">U15</f>
        <v>-0.13100000000000001</v>
      </c>
      <c r="V7" s="388">
        <f t="shared" si="4"/>
        <v>-0.1178</v>
      </c>
      <c r="W7" s="388">
        <f t="shared" si="4"/>
        <v>-9.9699999999999997E-2</v>
      </c>
      <c r="X7" s="388">
        <f t="shared" si="4"/>
        <v>-9.5200000000000007E-2</v>
      </c>
      <c r="Y7" s="388">
        <f t="shared" si="4"/>
        <v>-8.1600000000000006E-2</v>
      </c>
      <c r="Z7" s="388">
        <f t="shared" si="4"/>
        <v>-4.8399999999999999E-2</v>
      </c>
      <c r="AA7" s="388">
        <f t="shared" si="4"/>
        <v>0</v>
      </c>
      <c r="AB7" s="389" t="s">
        <v>192</v>
      </c>
      <c r="AC7" s="390">
        <f>MAX(O7,P7)</f>
        <v>590970</v>
      </c>
    </row>
    <row r="8" spans="2:29">
      <c r="D8" s="379" t="s">
        <v>193</v>
      </c>
      <c r="E8" s="391" t="s">
        <v>194</v>
      </c>
      <c r="F8" s="382">
        <v>-0.2</v>
      </c>
      <c r="G8" s="392">
        <f>IF(I8*1.3&gt;K8,0.2,0.3)</f>
        <v>0.3</v>
      </c>
      <c r="H8" s="387">
        <f t="shared" ref="H8:K13" si="5">H16+$E$26*8</f>
        <v>5797136</v>
      </c>
      <c r="I8" s="384">
        <f t="shared" si="5"/>
        <v>7208420</v>
      </c>
      <c r="J8" s="384">
        <f t="shared" si="5"/>
        <v>9325346</v>
      </c>
      <c r="K8" s="393">
        <f t="shared" si="5"/>
        <v>9622600</v>
      </c>
      <c r="L8" s="384">
        <v>108000</v>
      </c>
      <c r="M8" s="387">
        <f t="shared" ref="M8:M13" si="6">ROUNDUP($N8*(1+F8),-1)</f>
        <v>315580</v>
      </c>
      <c r="N8" s="384">
        <f t="shared" ref="N8:N13" si="7">ROUNDUP((I8-$L8)/18,-1)</f>
        <v>394470</v>
      </c>
      <c r="O8" s="384">
        <f t="shared" ref="O8:O12" si="8">ROUNDUP($N8*(1+G8),-1)</f>
        <v>512820</v>
      </c>
      <c r="P8" s="394">
        <f>ROUNDUP((K8-$L8)/18,-1)</f>
        <v>528590</v>
      </c>
      <c r="Q8" s="387">
        <f t="shared" ref="Q8:T13" si="9">M8*18</f>
        <v>5680440</v>
      </c>
      <c r="R8" s="384">
        <f t="shared" si="9"/>
        <v>7100460</v>
      </c>
      <c r="S8" s="384">
        <f t="shared" si="9"/>
        <v>9230760</v>
      </c>
      <c r="T8" s="393">
        <f t="shared" si="9"/>
        <v>9514620</v>
      </c>
      <c r="U8" s="388">
        <f t="shared" si="4"/>
        <v>-0.109</v>
      </c>
      <c r="V8" s="388">
        <f t="shared" si="4"/>
        <v>-9.1499999999999998E-2</v>
      </c>
      <c r="W8" s="388">
        <f t="shared" si="4"/>
        <v>-6.7799999999999999E-2</v>
      </c>
      <c r="X8" s="388">
        <f t="shared" si="4"/>
        <v>-6.1800000000000001E-2</v>
      </c>
      <c r="Y8" s="388">
        <f t="shared" si="4"/>
        <v>-4.3799999999999999E-2</v>
      </c>
      <c r="Z8" s="388">
        <f t="shared" si="4"/>
        <v>0</v>
      </c>
      <c r="AA8" s="388">
        <f t="shared" si="4"/>
        <v>9.5699999999999993E-2</v>
      </c>
      <c r="AC8" s="390">
        <f t="shared" ref="AC8:AC21" si="10">MAX(O8,P8)</f>
        <v>528590</v>
      </c>
    </row>
    <row r="9" spans="2:29">
      <c r="D9" s="379" t="s">
        <v>195</v>
      </c>
      <c r="E9" s="391" t="s">
        <v>185</v>
      </c>
      <c r="F9" s="382">
        <v>-0.2</v>
      </c>
      <c r="G9" s="382">
        <v>0.3</v>
      </c>
      <c r="H9" s="387">
        <f t="shared" si="5"/>
        <v>4620000</v>
      </c>
      <c r="I9" s="384">
        <f t="shared" si="5"/>
        <v>5737000</v>
      </c>
      <c r="J9" s="384">
        <f t="shared" si="5"/>
        <v>7412500</v>
      </c>
      <c r="K9" s="393">
        <f t="shared" si="5"/>
        <v>7822600</v>
      </c>
      <c r="L9" s="384">
        <v>108000</v>
      </c>
      <c r="M9" s="387">
        <f t="shared" si="6"/>
        <v>250190</v>
      </c>
      <c r="N9" s="384">
        <f t="shared" si="7"/>
        <v>312730</v>
      </c>
      <c r="O9" s="384">
        <f t="shared" si="8"/>
        <v>406550</v>
      </c>
      <c r="P9" s="394">
        <f>ROUNDUP((K9-$L9)/18,-1)</f>
        <v>428590</v>
      </c>
      <c r="Q9" s="387">
        <f t="shared" si="9"/>
        <v>4503420</v>
      </c>
      <c r="R9" s="384">
        <f t="shared" si="9"/>
        <v>5629140</v>
      </c>
      <c r="S9" s="384">
        <f t="shared" si="9"/>
        <v>7317900</v>
      </c>
      <c r="T9" s="393">
        <f t="shared" si="9"/>
        <v>7714620</v>
      </c>
      <c r="U9" s="388">
        <f t="shared" si="4"/>
        <v>-8.3500000000000005E-2</v>
      </c>
      <c r="V9" s="388">
        <f t="shared" si="4"/>
        <v>-6.1100000000000002E-2</v>
      </c>
      <c r="W9" s="388">
        <f t="shared" si="4"/>
        <v>-3.0700000000000002E-2</v>
      </c>
      <c r="X9" s="388">
        <f t="shared" si="4"/>
        <v>-2.3E-2</v>
      </c>
      <c r="Y9" s="388">
        <f t="shared" si="4"/>
        <v>0</v>
      </c>
      <c r="Z9" s="388">
        <f t="shared" si="4"/>
        <v>8.4099999999999994E-2</v>
      </c>
      <c r="AA9" s="388">
        <f t="shared" si="4"/>
        <v>0.20660000000000001</v>
      </c>
      <c r="AC9" s="390">
        <f t="shared" si="10"/>
        <v>428590</v>
      </c>
    </row>
    <row r="10" spans="2:29">
      <c r="D10" s="379"/>
      <c r="E10" s="391" t="s">
        <v>196</v>
      </c>
      <c r="F10" s="382">
        <v>-0.2</v>
      </c>
      <c r="G10" s="382">
        <v>0.3</v>
      </c>
      <c r="H10" s="387">
        <f t="shared" si="5"/>
        <v>4136625.6</v>
      </c>
      <c r="I10" s="384">
        <f t="shared" si="5"/>
        <v>5132782</v>
      </c>
      <c r="J10" s="384">
        <f t="shared" si="5"/>
        <v>6627016.6000000006</v>
      </c>
      <c r="K10" s="385"/>
      <c r="L10" s="384">
        <v>108000</v>
      </c>
      <c r="M10" s="387">
        <f t="shared" si="6"/>
        <v>223330</v>
      </c>
      <c r="N10" s="384">
        <f t="shared" si="7"/>
        <v>279160</v>
      </c>
      <c r="O10" s="384">
        <f t="shared" si="8"/>
        <v>362910</v>
      </c>
      <c r="P10" s="381"/>
      <c r="Q10" s="387">
        <f t="shared" si="9"/>
        <v>4019940</v>
      </c>
      <c r="R10" s="384">
        <f t="shared" si="9"/>
        <v>5024880</v>
      </c>
      <c r="S10" s="384">
        <f t="shared" si="9"/>
        <v>6532380</v>
      </c>
      <c r="T10" s="385"/>
      <c r="U10" s="388">
        <f t="shared" si="4"/>
        <v>-6.8400000000000002E-2</v>
      </c>
      <c r="V10" s="388">
        <f t="shared" si="4"/>
        <v>-4.2999999999999997E-2</v>
      </c>
      <c r="W10" s="388">
        <f t="shared" si="4"/>
        <v>-8.6999999999999994E-3</v>
      </c>
      <c r="X10" s="388">
        <f t="shared" si="4"/>
        <v>0</v>
      </c>
      <c r="Y10" s="388">
        <f t="shared" si="4"/>
        <v>3.9E-2</v>
      </c>
      <c r="Z10" s="388">
        <f t="shared" si="4"/>
        <v>0.1341</v>
      </c>
      <c r="AA10" s="388">
        <f t="shared" si="4"/>
        <v>0.27250000000000002</v>
      </c>
      <c r="AC10" s="390">
        <f t="shared" si="10"/>
        <v>362910</v>
      </c>
    </row>
    <row r="11" spans="2:29">
      <c r="D11" s="379" t="s">
        <v>197</v>
      </c>
      <c r="E11" s="391" t="s">
        <v>198</v>
      </c>
      <c r="F11" s="382">
        <v>-0.2</v>
      </c>
      <c r="G11" s="382">
        <v>0.3</v>
      </c>
      <c r="H11" s="387">
        <f t="shared" si="5"/>
        <v>3975500.8000000003</v>
      </c>
      <c r="I11" s="384">
        <f t="shared" si="5"/>
        <v>4931376</v>
      </c>
      <c r="J11" s="384">
        <f t="shared" si="5"/>
        <v>6365188.7999999998</v>
      </c>
      <c r="K11" s="385"/>
      <c r="L11" s="384">
        <v>108000</v>
      </c>
      <c r="M11" s="387">
        <f t="shared" si="6"/>
        <v>214380</v>
      </c>
      <c r="N11" s="384">
        <f t="shared" si="7"/>
        <v>267970</v>
      </c>
      <c r="O11" s="384">
        <f t="shared" si="8"/>
        <v>348370</v>
      </c>
      <c r="P11" s="381"/>
      <c r="Q11" s="387">
        <f t="shared" si="9"/>
        <v>3858840</v>
      </c>
      <c r="R11" s="384">
        <f t="shared" si="9"/>
        <v>4823460</v>
      </c>
      <c r="S11" s="384">
        <f t="shared" si="9"/>
        <v>6270660</v>
      </c>
      <c r="T11" s="385"/>
      <c r="U11" s="388">
        <f t="shared" si="4"/>
        <v>-6.2399999999999997E-2</v>
      </c>
      <c r="V11" s="388">
        <f t="shared" si="4"/>
        <v>-3.5900000000000001E-2</v>
      </c>
      <c r="W11" s="388">
        <f t="shared" si="4"/>
        <v>0</v>
      </c>
      <c r="X11" s="388">
        <f t="shared" si="4"/>
        <v>1.3599999999999999E-2</v>
      </c>
      <c r="Y11" s="388">
        <f t="shared" si="4"/>
        <v>5.4399999999999997E-2</v>
      </c>
      <c r="Z11" s="388">
        <f t="shared" si="4"/>
        <v>0.1537</v>
      </c>
      <c r="AA11" s="388">
        <f t="shared" si="4"/>
        <v>0.29849999999999999</v>
      </c>
      <c r="AC11" s="390">
        <f t="shared" si="10"/>
        <v>348370</v>
      </c>
    </row>
    <row r="12" spans="2:29">
      <c r="D12" s="379" t="s">
        <v>199</v>
      </c>
      <c r="E12" s="391" t="s">
        <v>200</v>
      </c>
      <c r="F12" s="382">
        <v>-0.2</v>
      </c>
      <c r="G12" s="382">
        <v>0.2</v>
      </c>
      <c r="H12" s="387">
        <f t="shared" si="5"/>
        <v>3337012</v>
      </c>
      <c r="I12" s="384">
        <f t="shared" si="5"/>
        <v>4133265</v>
      </c>
      <c r="J12" s="384">
        <f t="shared" si="5"/>
        <v>4929518</v>
      </c>
      <c r="K12" s="385"/>
      <c r="L12" s="384">
        <v>108000</v>
      </c>
      <c r="M12" s="387">
        <f t="shared" si="6"/>
        <v>178910</v>
      </c>
      <c r="N12" s="384">
        <f t="shared" si="7"/>
        <v>223630</v>
      </c>
      <c r="O12" s="384">
        <f t="shared" si="8"/>
        <v>268360</v>
      </c>
      <c r="P12" s="381"/>
      <c r="Q12" s="387">
        <f t="shared" si="9"/>
        <v>3220380</v>
      </c>
      <c r="R12" s="384">
        <f t="shared" si="9"/>
        <v>4025340</v>
      </c>
      <c r="S12" s="384">
        <f t="shared" si="9"/>
        <v>4830480</v>
      </c>
      <c r="T12" s="385"/>
      <c r="U12" s="388">
        <f t="shared" si="4"/>
        <v>-3.2300000000000002E-2</v>
      </c>
      <c r="V12" s="388">
        <f t="shared" si="4"/>
        <v>0</v>
      </c>
      <c r="W12" s="388">
        <f t="shared" si="4"/>
        <v>6.5699999999999995E-2</v>
      </c>
      <c r="X12" s="388">
        <f t="shared" si="4"/>
        <v>8.2299999999999998E-2</v>
      </c>
      <c r="Y12" s="388">
        <f t="shared" si="4"/>
        <v>0.13200000000000001</v>
      </c>
      <c r="Z12" s="388">
        <f t="shared" si="4"/>
        <v>0.25309999999999999</v>
      </c>
      <c r="AA12" s="388">
        <f t="shared" si="4"/>
        <v>0.42949999999999999</v>
      </c>
      <c r="AC12" s="390">
        <f t="shared" si="10"/>
        <v>268360</v>
      </c>
    </row>
    <row r="13" spans="2:29">
      <c r="D13" s="395" t="s">
        <v>201</v>
      </c>
      <c r="E13" s="381" t="s">
        <v>181</v>
      </c>
      <c r="F13" s="382">
        <v>-0.2</v>
      </c>
      <c r="G13" s="382">
        <v>0.2</v>
      </c>
      <c r="H13" s="387">
        <f t="shared" si="5"/>
        <v>2865840</v>
      </c>
      <c r="I13" s="384">
        <f t="shared" si="5"/>
        <v>3544300</v>
      </c>
      <c r="J13" s="384">
        <f t="shared" si="5"/>
        <v>4222760</v>
      </c>
      <c r="K13" s="385"/>
      <c r="L13" s="384">
        <v>108000</v>
      </c>
      <c r="M13" s="387">
        <f t="shared" si="6"/>
        <v>152730</v>
      </c>
      <c r="N13" s="384">
        <f t="shared" si="7"/>
        <v>190910</v>
      </c>
      <c r="O13" s="384">
        <f>ROUNDUP($N13*(1+G13),-1)</f>
        <v>229100</v>
      </c>
      <c r="P13" s="381"/>
      <c r="Q13" s="387">
        <f t="shared" si="9"/>
        <v>2749140</v>
      </c>
      <c r="R13" s="384">
        <f t="shared" si="9"/>
        <v>3436380</v>
      </c>
      <c r="S13" s="384">
        <f t="shared" si="9"/>
        <v>4123800</v>
      </c>
      <c r="T13" s="385"/>
      <c r="U13" s="388">
        <f t="shared" si="4"/>
        <v>0</v>
      </c>
      <c r="V13" s="388">
        <f t="shared" si="4"/>
        <v>5.7799999999999997E-2</v>
      </c>
      <c r="W13" s="388">
        <f t="shared" si="4"/>
        <v>0.1361</v>
      </c>
      <c r="X13" s="388">
        <f t="shared" si="4"/>
        <v>0.15590000000000001</v>
      </c>
      <c r="Y13" s="388">
        <f t="shared" si="4"/>
        <v>0.2152</v>
      </c>
      <c r="Z13" s="388">
        <f t="shared" si="4"/>
        <v>0.35959999999999998</v>
      </c>
      <c r="AA13" s="388">
        <f t="shared" si="4"/>
        <v>0.57010000000000005</v>
      </c>
      <c r="AC13" s="390">
        <f t="shared" si="10"/>
        <v>229100</v>
      </c>
    </row>
    <row r="14" spans="2:29">
      <c r="D14" s="361"/>
      <c r="E14" s="361"/>
      <c r="F14" s="361"/>
      <c r="G14" s="361"/>
      <c r="H14" s="361"/>
      <c r="I14" s="361"/>
      <c r="J14" s="361"/>
      <c r="K14" s="361"/>
      <c r="L14" s="361"/>
      <c r="M14" s="361"/>
      <c r="N14" s="361"/>
      <c r="O14" s="396"/>
      <c r="P14" s="361"/>
      <c r="Q14" s="361"/>
      <c r="R14" s="361"/>
      <c r="S14" s="361"/>
      <c r="T14" s="361"/>
      <c r="U14" s="361"/>
      <c r="V14" s="361"/>
      <c r="W14" s="361"/>
      <c r="AC14" s="390"/>
    </row>
    <row r="15" spans="2:29" ht="16.5" thickBot="1">
      <c r="C15" s="358" t="s">
        <v>202</v>
      </c>
      <c r="D15" s="379" t="s">
        <v>190</v>
      </c>
      <c r="E15" s="380" t="s">
        <v>187</v>
      </c>
      <c r="F15" s="381" t="s">
        <v>191</v>
      </c>
      <c r="G15" s="382">
        <v>0.2</v>
      </c>
      <c r="H15" s="383">
        <v>7330000</v>
      </c>
      <c r="I15" s="384">
        <v>8864351</v>
      </c>
      <c r="J15" s="384">
        <f>I15*(1+G15)</f>
        <v>10637221.199999999</v>
      </c>
      <c r="K15" s="385"/>
      <c r="L15" s="386"/>
      <c r="M15" s="383">
        <f>ROUNDUP((H15-$L15)/18,-1)</f>
        <v>407230</v>
      </c>
      <c r="N15" s="384">
        <f>ROUNDUP((I15-$L15)/18,-1)</f>
        <v>492470</v>
      </c>
      <c r="O15" s="384">
        <f>ROUNDUP($N15*(1+G15),-1)</f>
        <v>590970</v>
      </c>
      <c r="P15" s="381"/>
      <c r="Q15" s="387">
        <f>M15*18</f>
        <v>7330140</v>
      </c>
      <c r="R15" s="384">
        <f>N15*18</f>
        <v>8864460</v>
      </c>
      <c r="S15" s="384">
        <f>O15*18</f>
        <v>10637460</v>
      </c>
      <c r="T15" s="385"/>
      <c r="U15" s="404">
        <f t="shared" ref="U15:AA21" si="11">IF(U$4&gt;$R15,ROUND((U$4-$R15)/$R15*$U$3,4),ROUND((U$4-$R15)/$R15*$V$3,4))</f>
        <v>-0.13100000000000001</v>
      </c>
      <c r="V15" s="404">
        <f t="shared" si="11"/>
        <v>-0.1178</v>
      </c>
      <c r="W15" s="405">
        <f t="shared" si="11"/>
        <v>-9.9699999999999997E-2</v>
      </c>
      <c r="X15" s="405">
        <f t="shared" si="11"/>
        <v>-9.5200000000000007E-2</v>
      </c>
      <c r="Y15" s="405">
        <f t="shared" si="11"/>
        <v>-8.1600000000000006E-2</v>
      </c>
      <c r="Z15" s="405">
        <f t="shared" si="11"/>
        <v>-4.8399999999999999E-2</v>
      </c>
      <c r="AA15" s="388">
        <f t="shared" si="11"/>
        <v>0</v>
      </c>
      <c r="AC15" s="390">
        <f t="shared" si="10"/>
        <v>590970</v>
      </c>
    </row>
    <row r="16" spans="2:29">
      <c r="D16" s="379" t="s">
        <v>193</v>
      </c>
      <c r="E16" s="391" t="s">
        <v>194</v>
      </c>
      <c r="F16" s="382">
        <v>-0.2</v>
      </c>
      <c r="G16" s="392">
        <f>IF(I16*1.3&gt;K16,0.2,0.3)</f>
        <v>0.3</v>
      </c>
      <c r="H16" s="387">
        <f>I16*(1+F16)</f>
        <v>5645136</v>
      </c>
      <c r="I16" s="384">
        <v>7056420</v>
      </c>
      <c r="J16" s="384">
        <f>I16*(1+G16)</f>
        <v>9173346</v>
      </c>
      <c r="K16" s="393">
        <v>9470600</v>
      </c>
      <c r="L16" s="384">
        <v>336000</v>
      </c>
      <c r="M16" s="387">
        <f>ROUNDUP($N16*(1+F16),-1)</f>
        <v>298690</v>
      </c>
      <c r="N16" s="384">
        <f>ROUNDUP((I16-$L16)/18,-1)</f>
        <v>373360</v>
      </c>
      <c r="O16" s="384">
        <f>ROUNDUP($N16*(1+G16),-1)</f>
        <v>485370</v>
      </c>
      <c r="P16" s="394">
        <f>ROUNDUP((K16-$L16)/18,-1)</f>
        <v>507480</v>
      </c>
      <c r="Q16" s="387">
        <f t="shared" ref="Q16:T21" si="12">M16*18</f>
        <v>5376420</v>
      </c>
      <c r="R16" s="384">
        <f t="shared" si="12"/>
        <v>6720480</v>
      </c>
      <c r="S16" s="384">
        <f t="shared" si="12"/>
        <v>8736660</v>
      </c>
      <c r="T16" s="394">
        <f t="shared" si="12"/>
        <v>9134640</v>
      </c>
      <c r="U16" s="406">
        <f t="shared" si="11"/>
        <v>-0.109</v>
      </c>
      <c r="V16" s="407">
        <f t="shared" si="11"/>
        <v>-9.1499999999999998E-2</v>
      </c>
      <c r="W16" s="408">
        <f t="shared" si="11"/>
        <v>-6.7799999999999999E-2</v>
      </c>
      <c r="X16" s="408">
        <f t="shared" si="11"/>
        <v>-6.1800000000000001E-2</v>
      </c>
      <c r="Y16" s="408">
        <f t="shared" si="11"/>
        <v>-4.3799999999999999E-2</v>
      </c>
      <c r="Z16" s="409">
        <f t="shared" si="11"/>
        <v>0</v>
      </c>
      <c r="AA16" s="388">
        <f t="shared" si="11"/>
        <v>9.5699999999999993E-2</v>
      </c>
      <c r="AC16" s="390">
        <f t="shared" si="10"/>
        <v>507480</v>
      </c>
    </row>
    <row r="17" spans="2:29">
      <c r="D17" s="379" t="s">
        <v>195</v>
      </c>
      <c r="E17" s="391" t="s">
        <v>185</v>
      </c>
      <c r="F17" s="382">
        <v>-0.2</v>
      </c>
      <c r="G17" s="382">
        <v>0.3</v>
      </c>
      <c r="H17" s="387">
        <f t="shared" ref="H17:H21" si="13">I17*(1+F17)</f>
        <v>4468000</v>
      </c>
      <c r="I17" s="384">
        <v>5585000</v>
      </c>
      <c r="J17" s="384">
        <f t="shared" ref="J17:J21" si="14">I17*(1+G17)</f>
        <v>7260500</v>
      </c>
      <c r="K17" s="393">
        <v>7670600</v>
      </c>
      <c r="L17" s="384">
        <v>336000</v>
      </c>
      <c r="M17" s="387">
        <f>ROUNDUP($N17*(1+F17),-1)</f>
        <v>233300</v>
      </c>
      <c r="N17" s="384">
        <f t="shared" ref="N17:N21" si="15">ROUNDUP((I17-$L17)/18,-1)</f>
        <v>291620</v>
      </c>
      <c r="O17" s="384">
        <f t="shared" ref="O17:O21" si="16">ROUNDUP($N17*(1+G17),-1)</f>
        <v>379110</v>
      </c>
      <c r="P17" s="394">
        <f t="shared" ref="P17" si="17">ROUNDUP((K17-$L17)/18,-1)</f>
        <v>407480</v>
      </c>
      <c r="Q17" s="387">
        <f t="shared" si="12"/>
        <v>4199400</v>
      </c>
      <c r="R17" s="384">
        <f t="shared" si="12"/>
        <v>5249160</v>
      </c>
      <c r="S17" s="384">
        <f t="shared" si="12"/>
        <v>6823980</v>
      </c>
      <c r="T17" s="394">
        <f t="shared" si="12"/>
        <v>7334640</v>
      </c>
      <c r="U17" s="410">
        <f t="shared" si="11"/>
        <v>-8.3500000000000005E-2</v>
      </c>
      <c r="V17" s="402">
        <f t="shared" si="11"/>
        <v>-6.1100000000000002E-2</v>
      </c>
      <c r="W17" s="388">
        <f t="shared" si="11"/>
        <v>-3.0700000000000002E-2</v>
      </c>
      <c r="X17" s="388">
        <f t="shared" si="11"/>
        <v>-2.3E-2</v>
      </c>
      <c r="Y17" s="388">
        <f t="shared" si="11"/>
        <v>0</v>
      </c>
      <c r="Z17" s="411">
        <f t="shared" si="11"/>
        <v>8.4099999999999994E-2</v>
      </c>
      <c r="AA17" s="388">
        <f t="shared" si="11"/>
        <v>0.20660000000000001</v>
      </c>
      <c r="AC17" s="390">
        <f t="shared" si="10"/>
        <v>407480</v>
      </c>
    </row>
    <row r="18" spans="2:29">
      <c r="D18" s="379"/>
      <c r="E18" s="391" t="s">
        <v>196</v>
      </c>
      <c r="F18" s="382">
        <v>-0.2</v>
      </c>
      <c r="G18" s="382">
        <v>0.3</v>
      </c>
      <c r="H18" s="387">
        <f t="shared" si="13"/>
        <v>3984625.6</v>
      </c>
      <c r="I18" s="384">
        <v>4980782</v>
      </c>
      <c r="J18" s="384">
        <f t="shared" si="14"/>
        <v>6475016.6000000006</v>
      </c>
      <c r="K18" s="385"/>
      <c r="L18" s="384">
        <v>336000</v>
      </c>
      <c r="M18" s="387">
        <f t="shared" ref="M18:M21" si="18">ROUNDUP($N18*(1+F18),-1)</f>
        <v>206440</v>
      </c>
      <c r="N18" s="384">
        <f t="shared" si="15"/>
        <v>258050</v>
      </c>
      <c r="O18" s="384">
        <f t="shared" si="16"/>
        <v>335470</v>
      </c>
      <c r="P18" s="381"/>
      <c r="Q18" s="387">
        <f t="shared" si="12"/>
        <v>3715920</v>
      </c>
      <c r="R18" s="384">
        <f t="shared" si="12"/>
        <v>4644900</v>
      </c>
      <c r="S18" s="384">
        <f t="shared" si="12"/>
        <v>6038460</v>
      </c>
      <c r="T18" s="381"/>
      <c r="U18" s="410">
        <f t="shared" si="11"/>
        <v>-6.8400000000000002E-2</v>
      </c>
      <c r="V18" s="402">
        <f t="shared" si="11"/>
        <v>-4.2999999999999997E-2</v>
      </c>
      <c r="W18" s="388">
        <f t="shared" si="11"/>
        <v>-8.6999999999999994E-3</v>
      </c>
      <c r="X18" s="388">
        <f t="shared" si="11"/>
        <v>0</v>
      </c>
      <c r="Y18" s="388">
        <f t="shared" si="11"/>
        <v>3.9E-2</v>
      </c>
      <c r="Z18" s="411">
        <f t="shared" si="11"/>
        <v>0.1341</v>
      </c>
      <c r="AA18" s="388">
        <f t="shared" si="11"/>
        <v>0.27250000000000002</v>
      </c>
      <c r="AC18" s="390">
        <f t="shared" si="10"/>
        <v>335470</v>
      </c>
    </row>
    <row r="19" spans="2:29">
      <c r="D19" s="379" t="s">
        <v>197</v>
      </c>
      <c r="E19" s="391" t="s">
        <v>198</v>
      </c>
      <c r="F19" s="382">
        <v>-0.2</v>
      </c>
      <c r="G19" s="382">
        <v>0.3</v>
      </c>
      <c r="H19" s="387">
        <f t="shared" si="13"/>
        <v>3823500.8000000003</v>
      </c>
      <c r="I19" s="384">
        <v>4779376</v>
      </c>
      <c r="J19" s="384">
        <f t="shared" si="14"/>
        <v>6213188.7999999998</v>
      </c>
      <c r="K19" s="385"/>
      <c r="L19" s="384">
        <v>336000</v>
      </c>
      <c r="M19" s="387">
        <f t="shared" si="18"/>
        <v>197490</v>
      </c>
      <c r="N19" s="384">
        <f t="shared" si="15"/>
        <v>246860</v>
      </c>
      <c r="O19" s="384">
        <f t="shared" si="16"/>
        <v>320920</v>
      </c>
      <c r="P19" s="381"/>
      <c r="Q19" s="387">
        <f t="shared" si="12"/>
        <v>3554820</v>
      </c>
      <c r="R19" s="384">
        <f t="shared" si="12"/>
        <v>4443480</v>
      </c>
      <c r="S19" s="384">
        <f t="shared" si="12"/>
        <v>5776560</v>
      </c>
      <c r="T19" s="381"/>
      <c r="U19" s="410">
        <f t="shared" si="11"/>
        <v>-6.2399999999999997E-2</v>
      </c>
      <c r="V19" s="402">
        <f t="shared" si="11"/>
        <v>-3.5900000000000001E-2</v>
      </c>
      <c r="W19" s="388">
        <f t="shared" si="11"/>
        <v>0</v>
      </c>
      <c r="X19" s="388">
        <f t="shared" si="11"/>
        <v>1.3599999999999999E-2</v>
      </c>
      <c r="Y19" s="388">
        <f t="shared" si="11"/>
        <v>5.4399999999999997E-2</v>
      </c>
      <c r="Z19" s="411">
        <f t="shared" si="11"/>
        <v>0.1537</v>
      </c>
      <c r="AA19" s="388">
        <f t="shared" si="11"/>
        <v>0.29849999999999999</v>
      </c>
      <c r="AC19" s="390">
        <f t="shared" si="10"/>
        <v>320920</v>
      </c>
    </row>
    <row r="20" spans="2:29">
      <c r="D20" s="379" t="s">
        <v>199</v>
      </c>
      <c r="E20" s="391" t="s">
        <v>200</v>
      </c>
      <c r="F20" s="382">
        <v>-0.2</v>
      </c>
      <c r="G20" s="382">
        <v>0.2</v>
      </c>
      <c r="H20" s="387">
        <f>I20*(1+F20)</f>
        <v>3185012</v>
      </c>
      <c r="I20" s="384">
        <v>3981265</v>
      </c>
      <c r="J20" s="384">
        <f t="shared" si="14"/>
        <v>4777518</v>
      </c>
      <c r="K20" s="385"/>
      <c r="L20" s="384">
        <v>336000</v>
      </c>
      <c r="M20" s="387">
        <f t="shared" si="18"/>
        <v>162020</v>
      </c>
      <c r="N20" s="384">
        <f t="shared" si="15"/>
        <v>202520</v>
      </c>
      <c r="O20" s="384">
        <f t="shared" si="16"/>
        <v>243030</v>
      </c>
      <c r="P20" s="381"/>
      <c r="Q20" s="387">
        <f t="shared" si="12"/>
        <v>2916360</v>
      </c>
      <c r="R20" s="384">
        <f t="shared" si="12"/>
        <v>3645360</v>
      </c>
      <c r="S20" s="384">
        <f t="shared" si="12"/>
        <v>4374540</v>
      </c>
      <c r="T20" s="381"/>
      <c r="U20" s="410">
        <f t="shared" si="11"/>
        <v>-3.2300000000000002E-2</v>
      </c>
      <c r="V20" s="388">
        <f t="shared" si="11"/>
        <v>0</v>
      </c>
      <c r="W20" s="388">
        <f t="shared" si="11"/>
        <v>6.5699999999999995E-2</v>
      </c>
      <c r="X20" s="388">
        <f t="shared" si="11"/>
        <v>8.2299999999999998E-2</v>
      </c>
      <c r="Y20" s="402">
        <f t="shared" si="11"/>
        <v>0.13200000000000001</v>
      </c>
      <c r="Z20" s="412">
        <f t="shared" si="11"/>
        <v>0.25309999999999999</v>
      </c>
      <c r="AA20" s="388">
        <f t="shared" si="11"/>
        <v>0.42949999999999999</v>
      </c>
      <c r="AC20" s="390">
        <f t="shared" si="10"/>
        <v>243030</v>
      </c>
    </row>
    <row r="21" spans="2:29" ht="16.5" thickBot="1">
      <c r="D21" s="395" t="s">
        <v>201</v>
      </c>
      <c r="E21" s="381" t="s">
        <v>181</v>
      </c>
      <c r="F21" s="382">
        <v>-0.2</v>
      </c>
      <c r="G21" s="382">
        <v>0.2</v>
      </c>
      <c r="H21" s="387">
        <f t="shared" si="13"/>
        <v>2713840</v>
      </c>
      <c r="I21" s="384">
        <v>3392300</v>
      </c>
      <c r="J21" s="384">
        <f t="shared" si="14"/>
        <v>4070760</v>
      </c>
      <c r="K21" s="385"/>
      <c r="L21" s="384">
        <v>336000</v>
      </c>
      <c r="M21" s="387">
        <f t="shared" si="18"/>
        <v>135840</v>
      </c>
      <c r="N21" s="384">
        <f t="shared" si="15"/>
        <v>169800</v>
      </c>
      <c r="O21" s="384">
        <f t="shared" si="16"/>
        <v>203760</v>
      </c>
      <c r="P21" s="381"/>
      <c r="Q21" s="387">
        <f t="shared" si="12"/>
        <v>2445120</v>
      </c>
      <c r="R21" s="384">
        <f t="shared" si="12"/>
        <v>3056400</v>
      </c>
      <c r="S21" s="384">
        <f t="shared" si="12"/>
        <v>3667680</v>
      </c>
      <c r="T21" s="381"/>
      <c r="U21" s="413">
        <f t="shared" si="11"/>
        <v>0</v>
      </c>
      <c r="V21" s="414">
        <f t="shared" si="11"/>
        <v>5.7799999999999997E-2</v>
      </c>
      <c r="W21" s="415">
        <f t="shared" si="11"/>
        <v>0.1361</v>
      </c>
      <c r="X21" s="415">
        <f t="shared" si="11"/>
        <v>0.15590000000000001</v>
      </c>
      <c r="Y21" s="415">
        <f t="shared" si="11"/>
        <v>0.2152</v>
      </c>
      <c r="Z21" s="416">
        <f t="shared" si="11"/>
        <v>0.35959999999999998</v>
      </c>
      <c r="AA21" s="388">
        <f t="shared" si="11"/>
        <v>0.57010000000000005</v>
      </c>
      <c r="AC21" s="390">
        <f t="shared" si="10"/>
        <v>203760</v>
      </c>
    </row>
    <row r="22" spans="2:29">
      <c r="D22" s="361"/>
      <c r="E22" s="361"/>
      <c r="F22" s="361"/>
      <c r="G22" s="397"/>
      <c r="H22" s="397"/>
      <c r="I22" s="397"/>
      <c r="J22" s="397"/>
      <c r="K22" s="397"/>
      <c r="L22" s="397"/>
      <c r="M22" s="397"/>
      <c r="N22" s="397"/>
      <c r="O22" s="397"/>
      <c r="P22" s="397"/>
      <c r="Q22" s="397"/>
      <c r="R22" s="397"/>
      <c r="S22" s="397"/>
      <c r="T22" s="397"/>
      <c r="U22" s="361"/>
      <c r="V22" s="361"/>
      <c r="W22" s="361"/>
    </row>
    <row r="23" spans="2:29">
      <c r="D23" s="361"/>
      <c r="E23" s="361"/>
      <c r="F23" s="361"/>
      <c r="G23" s="361"/>
      <c r="H23" s="396"/>
      <c r="I23" s="361"/>
      <c r="J23" s="361"/>
      <c r="K23" s="361"/>
      <c r="L23" s="361"/>
      <c r="M23" s="361"/>
      <c r="N23" s="361"/>
      <c r="O23" s="361" t="s">
        <v>203</v>
      </c>
      <c r="P23" s="361" t="s">
        <v>186</v>
      </c>
      <c r="Q23" s="398">
        <f>Q8+9000*12</f>
        <v>5788440</v>
      </c>
      <c r="R23" s="398">
        <f>R8+9000*12</f>
        <v>7208460</v>
      </c>
      <c r="S23" s="398">
        <f>S8+9000*12</f>
        <v>9338760</v>
      </c>
      <c r="T23" s="398">
        <f>T8+9000*12</f>
        <v>9622620</v>
      </c>
    </row>
    <row r="24" spans="2:29">
      <c r="B24" s="358" t="s">
        <v>204</v>
      </c>
      <c r="D24" s="361"/>
      <c r="E24" s="361"/>
      <c r="F24" s="361"/>
      <c r="G24" s="361"/>
      <c r="H24" s="396"/>
      <c r="I24" s="361"/>
      <c r="J24" s="361"/>
      <c r="K24" s="361"/>
      <c r="L24" s="361"/>
      <c r="M24" s="361"/>
      <c r="N24" s="361"/>
      <c r="O24" s="361"/>
      <c r="P24" s="361" t="s">
        <v>205</v>
      </c>
      <c r="Q24" s="398">
        <f t="shared" ref="Q24:T28" si="19">Q9+9000*12</f>
        <v>4611420</v>
      </c>
      <c r="R24" s="398">
        <f t="shared" si="19"/>
        <v>5737140</v>
      </c>
      <c r="S24" s="398">
        <f t="shared" si="19"/>
        <v>7425900</v>
      </c>
      <c r="T24" s="398">
        <f t="shared" si="19"/>
        <v>7822620</v>
      </c>
      <c r="W24" s="403" t="s">
        <v>211</v>
      </c>
    </row>
    <row r="25" spans="2:29">
      <c r="C25" s="399" t="s">
        <v>206</v>
      </c>
      <c r="D25" s="399" t="s">
        <v>207</v>
      </c>
      <c r="E25" s="399" t="s">
        <v>208</v>
      </c>
      <c r="F25" s="361"/>
      <c r="G25" s="361"/>
      <c r="H25" s="396"/>
      <c r="I25" s="361"/>
      <c r="J25" s="361"/>
      <c r="K25" s="361"/>
      <c r="L25" s="361"/>
      <c r="M25" s="361"/>
      <c r="N25" s="361"/>
      <c r="O25" s="361"/>
      <c r="P25" s="361" t="s">
        <v>196</v>
      </c>
      <c r="Q25" s="398">
        <f t="shared" si="19"/>
        <v>4127940</v>
      </c>
      <c r="R25" s="398">
        <f t="shared" si="19"/>
        <v>5132880</v>
      </c>
      <c r="S25" s="398">
        <f t="shared" si="19"/>
        <v>6640380</v>
      </c>
      <c r="T25" s="398"/>
    </row>
    <row r="26" spans="2:29">
      <c r="C26" s="400">
        <v>125730</v>
      </c>
      <c r="D26" s="400">
        <v>106730</v>
      </c>
      <c r="E26" s="400">
        <f>C26-D26</f>
        <v>19000</v>
      </c>
      <c r="F26" s="398">
        <f>E26*8</f>
        <v>152000</v>
      </c>
      <c r="G26" s="361"/>
      <c r="H26" s="361"/>
      <c r="I26" s="361"/>
      <c r="J26" s="361"/>
      <c r="K26" s="361"/>
      <c r="L26" s="361"/>
      <c r="M26" s="361"/>
      <c r="N26" s="361"/>
      <c r="O26" s="361"/>
      <c r="P26" s="361" t="s">
        <v>183</v>
      </c>
      <c r="Q26" s="398">
        <f t="shared" si="19"/>
        <v>3966840</v>
      </c>
      <c r="R26" s="398">
        <f t="shared" si="19"/>
        <v>4931460</v>
      </c>
      <c r="S26" s="398">
        <f t="shared" si="19"/>
        <v>6378660</v>
      </c>
      <c r="T26" s="398"/>
    </row>
    <row r="27" spans="2:29">
      <c r="C27" s="361"/>
      <c r="D27" s="361"/>
      <c r="E27" s="361"/>
      <c r="F27" s="361"/>
      <c r="G27" s="361"/>
      <c r="H27" s="361"/>
      <c r="I27" s="361"/>
      <c r="J27" s="361"/>
      <c r="K27" s="361"/>
      <c r="L27" s="361"/>
      <c r="M27" s="361"/>
      <c r="N27" s="361"/>
      <c r="O27" s="361"/>
      <c r="P27" s="361" t="s">
        <v>182</v>
      </c>
      <c r="Q27" s="398">
        <f t="shared" si="19"/>
        <v>3328380</v>
      </c>
      <c r="R27" s="398">
        <f t="shared" si="19"/>
        <v>4133340</v>
      </c>
      <c r="S27" s="398">
        <f t="shared" si="19"/>
        <v>4938480</v>
      </c>
      <c r="T27" s="398"/>
    </row>
    <row r="28" spans="2:29">
      <c r="D28" s="361"/>
      <c r="E28" s="361"/>
      <c r="F28" s="361"/>
      <c r="G28" s="361"/>
      <c r="H28" s="361"/>
      <c r="I28" s="361"/>
      <c r="J28" s="361"/>
      <c r="K28" s="361"/>
      <c r="L28" s="361"/>
      <c r="M28" s="361"/>
      <c r="N28" s="361"/>
      <c r="O28" s="361"/>
      <c r="P28" s="361" t="s">
        <v>209</v>
      </c>
      <c r="Q28" s="398">
        <f t="shared" si="19"/>
        <v>2857140</v>
      </c>
      <c r="R28" s="398">
        <f t="shared" si="19"/>
        <v>3544380</v>
      </c>
      <c r="S28" s="398">
        <f t="shared" si="19"/>
        <v>4231800</v>
      </c>
      <c r="T28" s="398"/>
    </row>
    <row r="29" spans="2:29">
      <c r="D29" s="361"/>
      <c r="E29" s="361"/>
      <c r="F29" s="361"/>
      <c r="G29" s="361"/>
      <c r="H29" s="361"/>
      <c r="I29" s="361"/>
      <c r="J29" s="361"/>
      <c r="K29" s="361"/>
      <c r="L29" s="361"/>
      <c r="M29" s="361"/>
      <c r="N29" s="361"/>
      <c r="O29" s="361"/>
      <c r="P29" s="361"/>
      <c r="Q29" s="361"/>
      <c r="R29" s="361"/>
      <c r="S29" s="361"/>
      <c r="T29" s="361"/>
    </row>
    <row r="30" spans="2:29">
      <c r="D30" s="361"/>
      <c r="E30" s="361"/>
      <c r="F30" s="361"/>
      <c r="G30" s="361"/>
      <c r="H30" s="361"/>
      <c r="I30" s="361"/>
      <c r="J30" s="361"/>
      <c r="K30" s="361"/>
      <c r="L30" s="361"/>
      <c r="M30" s="361"/>
      <c r="N30" s="361"/>
      <c r="O30" s="361" t="s">
        <v>210</v>
      </c>
      <c r="P30" s="361" t="s">
        <v>186</v>
      </c>
      <c r="Q30" s="398">
        <f>Q16+28000*12</f>
        <v>5712420</v>
      </c>
      <c r="R30" s="398">
        <f t="shared" ref="R30:T30" si="20">R16+28000*12</f>
        <v>7056480</v>
      </c>
      <c r="S30" s="398">
        <f t="shared" si="20"/>
        <v>9072660</v>
      </c>
      <c r="T30" s="398">
        <f t="shared" si="20"/>
        <v>9470640</v>
      </c>
    </row>
    <row r="31" spans="2:29">
      <c r="D31" s="361"/>
      <c r="E31" s="361"/>
      <c r="F31" s="361"/>
      <c r="G31" s="361"/>
      <c r="H31" s="361"/>
      <c r="I31" s="361"/>
      <c r="J31" s="361"/>
      <c r="K31" s="361"/>
      <c r="L31" s="361"/>
      <c r="M31" s="361"/>
      <c r="N31" s="361"/>
      <c r="O31" s="361"/>
      <c r="P31" s="361" t="s">
        <v>205</v>
      </c>
      <c r="Q31" s="398">
        <f t="shared" ref="Q31:T35" si="21">Q17+28000*12</f>
        <v>4535400</v>
      </c>
      <c r="R31" s="398">
        <f t="shared" si="21"/>
        <v>5585160</v>
      </c>
      <c r="S31" s="398">
        <f t="shared" si="21"/>
        <v>7159980</v>
      </c>
      <c r="T31" s="398">
        <f t="shared" si="21"/>
        <v>7670640</v>
      </c>
    </row>
    <row r="32" spans="2:29">
      <c r="D32" s="361"/>
      <c r="E32" s="361"/>
      <c r="F32" s="361"/>
      <c r="G32" s="361"/>
      <c r="H32" s="361"/>
      <c r="I32" s="361"/>
      <c r="J32" s="361"/>
      <c r="K32" s="361"/>
      <c r="L32" s="361"/>
      <c r="M32" s="361"/>
      <c r="N32" s="361"/>
      <c r="O32" s="361"/>
      <c r="P32" s="361" t="s">
        <v>196</v>
      </c>
      <c r="Q32" s="398">
        <f t="shared" si="21"/>
        <v>4051920</v>
      </c>
      <c r="R32" s="398">
        <f t="shared" si="21"/>
        <v>4980900</v>
      </c>
      <c r="S32" s="398">
        <f t="shared" si="21"/>
        <v>6374460</v>
      </c>
      <c r="T32" s="398"/>
    </row>
    <row r="33" spans="4:23">
      <c r="D33" s="361"/>
      <c r="E33" s="361"/>
      <c r="F33" s="361"/>
      <c r="G33" s="361"/>
      <c r="H33" s="361"/>
      <c r="I33" s="361"/>
      <c r="J33" s="361"/>
      <c r="K33" s="361"/>
      <c r="L33" s="361"/>
      <c r="M33" s="361"/>
      <c r="N33" s="361"/>
      <c r="O33" s="361"/>
      <c r="P33" s="361" t="s">
        <v>183</v>
      </c>
      <c r="Q33" s="398">
        <f t="shared" si="21"/>
        <v>3890820</v>
      </c>
      <c r="R33" s="398">
        <f t="shared" si="21"/>
        <v>4779480</v>
      </c>
      <c r="S33" s="398">
        <f t="shared" si="21"/>
        <v>6112560</v>
      </c>
      <c r="T33" s="398"/>
    </row>
    <row r="34" spans="4:23">
      <c r="D34" s="361"/>
      <c r="E34" s="361"/>
      <c r="F34" s="361"/>
      <c r="G34" s="361"/>
      <c r="H34" s="361"/>
      <c r="I34" s="361"/>
      <c r="J34" s="361"/>
      <c r="K34" s="361"/>
      <c r="L34" s="361"/>
      <c r="M34" s="361"/>
      <c r="N34" s="361"/>
      <c r="O34" s="361"/>
      <c r="P34" s="361" t="s">
        <v>182</v>
      </c>
      <c r="Q34" s="398">
        <f t="shared" si="21"/>
        <v>3252360</v>
      </c>
      <c r="R34" s="398">
        <f t="shared" si="21"/>
        <v>3981360</v>
      </c>
      <c r="S34" s="398">
        <f t="shared" si="21"/>
        <v>4710540</v>
      </c>
      <c r="T34" s="398"/>
    </row>
    <row r="35" spans="4:23">
      <c r="D35" s="361"/>
      <c r="E35" s="361"/>
      <c r="F35" s="361"/>
      <c r="G35" s="361"/>
      <c r="H35" s="361"/>
      <c r="I35" s="361"/>
      <c r="J35" s="361"/>
      <c r="K35" s="361"/>
      <c r="L35" s="361"/>
      <c r="M35" s="361"/>
      <c r="N35" s="361"/>
      <c r="O35" s="361"/>
      <c r="P35" s="361" t="s">
        <v>209</v>
      </c>
      <c r="Q35" s="398">
        <f t="shared" si="21"/>
        <v>2781120</v>
      </c>
      <c r="R35" s="398">
        <f t="shared" si="21"/>
        <v>3392400</v>
      </c>
      <c r="S35" s="398">
        <f t="shared" si="21"/>
        <v>4003680</v>
      </c>
      <c r="T35" s="398"/>
    </row>
    <row r="36" spans="4:23">
      <c r="D36" s="361"/>
      <c r="E36" s="361"/>
      <c r="F36" s="361"/>
      <c r="G36" s="361"/>
      <c r="H36" s="361"/>
      <c r="I36" s="361"/>
      <c r="J36" s="361"/>
      <c r="K36" s="361"/>
      <c r="L36" s="361"/>
      <c r="M36" s="361"/>
      <c r="N36" s="361"/>
      <c r="O36" s="361"/>
      <c r="P36" s="361"/>
      <c r="Q36" s="398"/>
      <c r="R36" s="398"/>
      <c r="S36" s="398"/>
      <c r="T36" s="398"/>
    </row>
    <row r="37" spans="4:23">
      <c r="D37" s="361"/>
      <c r="E37" s="361"/>
      <c r="F37" s="361"/>
      <c r="G37" s="361"/>
      <c r="H37" s="361"/>
      <c r="I37" s="361"/>
      <c r="J37" s="361"/>
      <c r="K37" s="361"/>
      <c r="L37" s="361"/>
      <c r="M37" s="361"/>
      <c r="N37" s="361"/>
      <c r="O37" s="361"/>
      <c r="P37" s="361" t="s">
        <v>186</v>
      </c>
      <c r="Q37" s="401">
        <f>Q23-Q30</f>
        <v>76020</v>
      </c>
      <c r="R37" s="401">
        <f t="shared" ref="R37:T37" si="22">R23-R30</f>
        <v>151980</v>
      </c>
      <c r="S37" s="401">
        <f t="shared" si="22"/>
        <v>266100</v>
      </c>
      <c r="T37" s="401">
        <f t="shared" si="22"/>
        <v>151980</v>
      </c>
      <c r="U37" s="361"/>
      <c r="V37" s="398"/>
      <c r="W37" s="361"/>
    </row>
    <row r="38" spans="4:23">
      <c r="D38" s="361"/>
      <c r="E38" s="361"/>
      <c r="F38" s="361"/>
      <c r="G38" s="361"/>
      <c r="H38" s="361"/>
      <c r="I38" s="361"/>
      <c r="J38" s="361"/>
      <c r="K38" s="361"/>
      <c r="L38" s="361"/>
      <c r="M38" s="361"/>
      <c r="N38" s="361"/>
      <c r="O38" s="361"/>
      <c r="P38" s="361" t="s">
        <v>205</v>
      </c>
      <c r="Q38" s="401">
        <f t="shared" ref="Q38:T42" si="23">Q24-Q31</f>
        <v>76020</v>
      </c>
      <c r="R38" s="401">
        <f t="shared" si="23"/>
        <v>151980</v>
      </c>
      <c r="S38" s="401">
        <f t="shared" si="23"/>
        <v>265920</v>
      </c>
      <c r="T38" s="401">
        <f t="shared" si="23"/>
        <v>151980</v>
      </c>
      <c r="U38" s="361"/>
      <c r="V38" s="398"/>
      <c r="W38" s="361"/>
    </row>
    <row r="39" spans="4:23">
      <c r="D39" s="361"/>
      <c r="E39" s="361"/>
      <c r="F39" s="361"/>
      <c r="G39" s="361"/>
      <c r="H39" s="361"/>
      <c r="I39" s="361"/>
      <c r="J39" s="361"/>
      <c r="K39" s="361"/>
      <c r="L39" s="361"/>
      <c r="M39" s="361"/>
      <c r="N39" s="361"/>
      <c r="O39" s="361"/>
      <c r="P39" s="361" t="s">
        <v>196</v>
      </c>
      <c r="Q39" s="401">
        <f t="shared" si="23"/>
        <v>76020</v>
      </c>
      <c r="R39" s="401">
        <f t="shared" si="23"/>
        <v>151980</v>
      </c>
      <c r="S39" s="401">
        <f t="shared" si="23"/>
        <v>265920</v>
      </c>
      <c r="T39" s="401">
        <f t="shared" si="23"/>
        <v>0</v>
      </c>
      <c r="U39" s="361"/>
      <c r="V39" s="398"/>
      <c r="W39" s="361"/>
    </row>
    <row r="40" spans="4:23">
      <c r="D40" s="361"/>
      <c r="E40" s="361"/>
      <c r="F40" s="361"/>
      <c r="G40" s="361"/>
      <c r="H40" s="361"/>
      <c r="I40" s="361"/>
      <c r="J40" s="361"/>
      <c r="K40" s="361"/>
      <c r="L40" s="361"/>
      <c r="M40" s="361"/>
      <c r="N40" s="361"/>
      <c r="O40" s="361"/>
      <c r="P40" s="361" t="s">
        <v>183</v>
      </c>
      <c r="Q40" s="401">
        <f t="shared" si="23"/>
        <v>76020</v>
      </c>
      <c r="R40" s="401">
        <f t="shared" si="23"/>
        <v>151980</v>
      </c>
      <c r="S40" s="401">
        <f t="shared" si="23"/>
        <v>266100</v>
      </c>
      <c r="T40" s="401">
        <f t="shared" si="23"/>
        <v>0</v>
      </c>
      <c r="U40" s="361"/>
      <c r="V40" s="398"/>
      <c r="W40" s="361"/>
    </row>
    <row r="41" spans="4:23">
      <c r="D41" s="361"/>
      <c r="E41" s="361"/>
      <c r="F41" s="361"/>
      <c r="G41" s="361"/>
      <c r="H41" s="361"/>
      <c r="I41" s="361"/>
      <c r="J41" s="361"/>
      <c r="K41" s="361"/>
      <c r="L41" s="361"/>
      <c r="M41" s="361"/>
      <c r="N41" s="361"/>
      <c r="O41" s="361"/>
      <c r="P41" s="361" t="s">
        <v>182</v>
      </c>
      <c r="Q41" s="401">
        <f t="shared" si="23"/>
        <v>76020</v>
      </c>
      <c r="R41" s="401">
        <f t="shared" si="23"/>
        <v>151980</v>
      </c>
      <c r="S41" s="401">
        <f t="shared" si="23"/>
        <v>227940</v>
      </c>
      <c r="T41" s="401">
        <f t="shared" si="23"/>
        <v>0</v>
      </c>
      <c r="U41" s="361"/>
      <c r="V41" s="398"/>
      <c r="W41" s="361"/>
    </row>
    <row r="42" spans="4:23">
      <c r="D42" s="361"/>
      <c r="E42" s="361"/>
      <c r="F42" s="361"/>
      <c r="G42" s="361"/>
      <c r="H42" s="361"/>
      <c r="I42" s="361"/>
      <c r="J42" s="361"/>
      <c r="K42" s="361"/>
      <c r="L42" s="361"/>
      <c r="M42" s="361"/>
      <c r="N42" s="361"/>
      <c r="O42" s="361"/>
      <c r="P42" s="361" t="s">
        <v>209</v>
      </c>
      <c r="Q42" s="401">
        <f t="shared" si="23"/>
        <v>76020</v>
      </c>
      <c r="R42" s="401">
        <f t="shared" si="23"/>
        <v>151980</v>
      </c>
      <c r="S42" s="401">
        <f>S28-S35</f>
        <v>228120</v>
      </c>
      <c r="T42" s="401">
        <f t="shared" si="23"/>
        <v>0</v>
      </c>
      <c r="U42" s="361"/>
      <c r="V42" s="398"/>
      <c r="W42" s="361"/>
    </row>
    <row r="43" spans="4:23">
      <c r="Q43" s="401"/>
      <c r="R43" s="401"/>
      <c r="S43" s="401"/>
      <c r="T43" s="401"/>
    </row>
  </sheetData>
  <conditionalFormatting sqref="U7:AA13">
    <cfRule type="cellIs" dxfId="1" priority="1" operator="equal">
      <formula>0</formula>
    </cfRule>
  </conditionalFormatting>
  <conditionalFormatting sqref="U15:AA21">
    <cfRule type="cellIs" dxfId="0" priority="2" operator="equal">
      <formula>0</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■グレード変更時の報酬試算ツール（美容職)</vt:lpstr>
      <vt:lpstr>■昇降格試算ツール（総合職・特定職）</vt:lpstr>
      <vt:lpstr>■Comp Est Tool for Sougou＆Toku</vt:lpstr>
      <vt:lpstr>■昇格試算ツール (生産技術職)</vt:lpstr>
      <vt:lpstr>■Comp Est Tool for Sei-Gi</vt:lpstr>
      <vt:lpstr>25年_美容職新制度設計 (実昇降格)</vt:lpstr>
      <vt:lpstr>24年時点_制度設計</vt:lpstr>
      <vt:lpstr>リスト値</vt:lpstr>
      <vt:lpstr>25年_美容職新制度設計（All）</vt:lpstr>
      <vt:lpstr>参考（制度資料）</vt:lpstr>
      <vt:lpstr>'■Comp Est Tool for Sei-Gi'!Print_Area</vt:lpstr>
      <vt:lpstr>'■Comp Est Tool for Sougou＆Toku'!Print_Area</vt:lpstr>
      <vt:lpstr>'■グレード変更時の報酬試算ツール（美容職)'!Print_Area</vt:lpstr>
      <vt:lpstr>'■昇格試算ツール (生産技術職)'!Print_Area</vt:lpstr>
      <vt:lpstr>■昇降格試算ツール（総合職・特定職）!Print_Area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蛭間 公平/ Hiruma Kohei</dc:creator>
  <cp:lastModifiedBy>蛭間 公平/ Hiruma Kohei</cp:lastModifiedBy>
  <dcterms:created xsi:type="dcterms:W3CDTF">2024-11-06T08:04:31Z</dcterms:created>
  <dcterms:modified xsi:type="dcterms:W3CDTF">2025-03-24T10:31:27Z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7900c6f-39e5-434a-b4c3-be3e591a7835_Enabled">
    <vt:lpwstr>true</vt:lpwstr>
  </property>
  <property fmtid="{D5CDD505-2E9C-101B-9397-08002B2CF9AE}" pid="3" name="MSIP_Label_b7900c6f-39e5-434a-b4c3-be3e591a7835_SetDate">
    <vt:lpwstr>2024-11-06T08:35:45Z</vt:lpwstr>
  </property>
  <property fmtid="{D5CDD505-2E9C-101B-9397-08002B2CF9AE}" pid="4" name="MSIP_Label_b7900c6f-39e5-434a-b4c3-be3e591a7835_Method">
    <vt:lpwstr>Standard</vt:lpwstr>
  </property>
  <property fmtid="{D5CDD505-2E9C-101B-9397-08002B2CF9AE}" pid="5" name="MSIP_Label_b7900c6f-39e5-434a-b4c3-be3e591a7835_Name">
    <vt:lpwstr>b7900c6f-39e5-434a-b4c3-be3e591a7835</vt:lpwstr>
  </property>
  <property fmtid="{D5CDD505-2E9C-101B-9397-08002B2CF9AE}" pid="6" name="MSIP_Label_b7900c6f-39e5-434a-b4c3-be3e591a7835_SiteId">
    <vt:lpwstr>602fb212-70b3-4ef8-938e-9ba98c5ab37a</vt:lpwstr>
  </property>
  <property fmtid="{D5CDD505-2E9C-101B-9397-08002B2CF9AE}" pid="7" name="MSIP_Label_b7900c6f-39e5-434a-b4c3-be3e591a7835_ActionId">
    <vt:lpwstr>a716ad78-7caa-4f74-951b-06e09cafc1ef</vt:lpwstr>
  </property>
  <property fmtid="{D5CDD505-2E9C-101B-9397-08002B2CF9AE}" pid="8" name="MSIP_Label_b7900c6f-39e5-434a-b4c3-be3e591a7835_ContentBits">
    <vt:lpwstr>2</vt:lpwstr>
  </property>
</Properties>
</file>